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435" activeTab="0"/>
  </bookViews>
  <sheets>
    <sheet name="2021 Usme" sheetId="1" r:id="rId1"/>
  </sheets>
  <definedNames/>
  <calcPr fullCalcOnLoad="1"/>
</workbook>
</file>

<file path=xl/sharedStrings.xml><?xml version="1.0" encoding="utf-8"?>
<sst xmlns="http://schemas.openxmlformats.org/spreadsheetml/2006/main" count="612" uniqueCount="348">
  <si>
    <r>
      <t xml:space="preserve">ALCALDÍA LOCAL DE </t>
    </r>
    <r>
      <rPr>
        <b/>
        <u val="single"/>
        <sz val="11"/>
        <color indexed="8"/>
        <rFont val="Calibri Light"/>
        <family val="2"/>
      </rPr>
      <t>USME</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</si>
  <si>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</si>
  <si>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</si>
  <si>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</si>
  <si>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</si>
  <si>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</si>
  <si>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</si>
  <si>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</si>
  <si>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</si>
  <si>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23 de marzo de 2021</t>
  </si>
  <si>
    <t>Publicación del plan de gestión aprobado. Caso HOLA: 163085</t>
  </si>
  <si>
    <t>30 de abril de 2021</t>
  </si>
  <si>
    <t>Para el primer trimestre de la vigencia 2021, el plan de gestión de la Alcaldía Local alcanzó un nivel de desempeño del 79% de acuerdo con lo programado, y del 18%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</si>
  <si>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</si>
  <si>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92,07% de acuerdo con lo programado, y del 46,14%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</si>
  <si>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</si>
  <si>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</si>
  <si>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</si>
  <si>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</si>
  <si>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</si>
  <si>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</si>
  <si>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</si>
  <si>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</si>
  <si>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</si>
  <si>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</si>
  <si>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</si>
  <si>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</si>
  <si>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</si>
  <si>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</si>
  <si>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</si>
  <si>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</si>
  <si>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</si>
  <si>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</si>
  <si>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</si>
  <si>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</si>
  <si>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</si>
  <si>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</si>
  <si>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</si>
  <si>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</si>
  <si>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</si>
  <si>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</si>
  <si>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</si>
  <si>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</si>
  <si>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</si>
  <si>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</si>
  <si>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</si>
  <si>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</si>
  <si>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</si>
  <si>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</si>
  <si>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</si>
  <si>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</si>
  <si>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</si>
  <si>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</si>
  <si>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</si>
  <si>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</si>
  <si>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</si>
  <si>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</si>
  <si>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</si>
  <si>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</si>
  <si>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</si>
  <si>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</si>
  <si>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</si>
  <si>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</si>
  <si>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</si>
  <si>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</si>
  <si>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</si>
  <si>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</si>
  <si>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100%.
La Alcaldía Local de Usme a corte de 30 de junio de 2021, alcanzó un 0,5% de cumplimiento de la meta, debido a las acciones realizadas por la ULATA como avances de ejecución del proyecto 1726 el cual tiene dos (02) metas en el marco de la Extensión agropecuaria ambiental y productividad en la localidad de Usme. Los demás proyectos estan en etapa de formulación y/o procesos de contratación.
Nota: se ajusta la programación de la meta para el II Trimestre de 2021, dado que la información disponible corresponde al I Trimestre. </t>
  </si>
  <si>
    <t>Reporte de ejecución de la meta aportado por la DGDL proveniente de la MUSI</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</si>
  <si>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</si>
  <si>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</si>
  <si>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</si>
  <si>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</si>
  <si>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</si>
  <si>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</si>
  <si>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</si>
  <si>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</si>
  <si>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trimestre II-2021</t>
  </si>
  <si>
    <r>
      <t xml:space="preserve">3. Lograr que el </t>
    </r>
    <r>
      <rPr>
        <b/>
        <sz val="11"/>
        <rFont val="Calibri Light"/>
        <family val="2"/>
      </rPr>
      <t xml:space="preserve">100% </t>
    </r>
    <r>
      <rPr>
        <sz val="11"/>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</si>
  <si>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</si>
  <si>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</si>
  <si>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</si>
  <si>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</si>
  <si>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</si>
  <si>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</si>
  <si>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La Alcaldía Local de Usme  a corte de 31 de marzo esta ejecutando 06 propuestas ganadoras en la vigencia 2021 con CRP por un valor de $255.073.368 de un total de 125 propuestas ganadoras.</t>
  </si>
  <si>
    <t>La Alcaldía Local de Usme logró la ejecución de 12 propuestas ganadoras de presupuestos participativos (Fase II), de las 103 propuestas ganadoras.</t>
  </si>
  <si>
    <t>Reporte de seguimiento a la ejecución de las propuestas
Reporte de ejecución presupuestal BOGDATA
Reporte Dirección para la Gestión del Desarrollo Local</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</si>
  <si>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</si>
  <si>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</si>
  <si>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</si>
  <si>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</si>
  <si>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</si>
  <si>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</si>
  <si>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</si>
  <si>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</si>
  <si>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El valor de los giros acumulados a 31 de marzo de 2021  respecto a  las obligaciones por pagar de la vigencia 2020 es 2.831.450.047
Valor del Presupuesto comprometido constituido como obligaciones por pagar de la vigencia 2020 es 25.793.841.033</t>
  </si>
  <si>
    <t>Se evidencia matriz obligaciones por pagar enviada a secretaria de gobierno</t>
  </si>
  <si>
    <t>El Valor de los Giros acumulados realizados por el Fondo de Desarrollo Local de Usme -FDLU en el segundo trimestre de 2021 es = $8805991064
El Valor del Presupuesto comprometido constituido como obligaciones por pagar de la vigencia 2020 es = $24474926453
Por lo tanto, el Porcentaje de giros acumulados de obligaciones por pagar de la vigencia 2020 es de 35,98% a corte de 30 de junio de 2021.</t>
  </si>
  <si>
    <t>Reporte seguimiento mensual consolidado
Informe de ejecución presupuestal de obligaciones por pagar
Reporte ejecución presupuestal BOGDATA
Reporte de seguimiento presentado por la Dirección para la Gestión del Desarrollo Local.</t>
  </si>
  <si>
    <r>
      <t>5.Girar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</si>
  <si>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</si>
  <si>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</si>
  <si>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Valor de los Giros Acumulados a 31 de marzo de 2021 respecto a las obligaciones por pagar de la vigencia 2019 y anteriores es igual a 5.029.350.039
Valor del Presupuesto comprometido constituido como obligaciones por pagar de la vigencia 2019 y anteriores es igual a 27.298.138.881</t>
  </si>
  <si>
    <t>El Valor de los Giros acumulados realizados por el Fondo de Desarrollo Local de Usme -FDLU en el segundo trimestre de 2021 es = $12.529.839.340
El Valor del Presupuesto comprometido constituido como obligaciones por pagar de la vigencia 2019 es = $ 27102965360
Por lo tanto, el Porcentaje de giros acumulados de obligaciones por pagar de la vigencia 2019 y anteriores es del 46,23% a corte de 30 de junio de 2021.</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</si>
  <si>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</si>
  <si>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</si>
  <si>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</si>
  <si>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</si>
  <si>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Durante el 01 de enero al 31 de marzo de 2021 el FDLU logró comprometer con CRP el valor acumulado de $14.519.598.979 equivalente a una ejecución del 24%, teniendo en cuenta que el Valor total del presupuesto de inversión directa de la Vigencia es de $59.441.193.000.</t>
  </si>
  <si>
    <t xml:space="preserve">Reporte seguimiento mensual consolidado 
BOGDATA
</t>
  </si>
  <si>
    <t xml:space="preserve">Para el II Trimestre de 2021, la Alcaldía Local de Usme comprometió $24.735.867.104 de los $59.441.193.000 asignados como presupuesto de inversión directa de la vigencia 2021, lo que representa un nivel de ejecución del 41,61%. </t>
  </si>
  <si>
    <t>Reporte de seguimiento presentado por la Dirección para la Gestión del Desarrollo Local.</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</si>
  <si>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</si>
  <si>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</si>
  <si>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</si>
  <si>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Durante el 01 de enero al 31 de marzo de 2021 el FDLU logró Girar el valor acumulado de $6.023.966.939 equivalente a una ejecución del 10%, teniendo en cuenta que el Valor total del presupuesto de inversión directa de la Vigencia es de $59.441.193.000.</t>
  </si>
  <si>
    <t>Reporte seguimiento mensual consolidado 
BOGDATA</t>
  </si>
  <si>
    <t xml:space="preserve">La Alcaldía Local de Usme giró $13.020.175.094 de los $59.441.193.000 asignados como depuesto disponible de inversión directa de la vigencia, lo que representa un nivel de ejecución acumulado del 21,9%. </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</si>
  <si>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</si>
  <si>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</si>
  <si>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</si>
  <si>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</si>
  <si>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</si>
  <si>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El FDLU en el periodo del 01 de enero al 31 de marzo de 2021 registro  en SIPSE Local un total de 199 contratos a través de 135 solicitudes de registro realizadas por el personal de contratación (NO HAY) y Planeación (contratos jurídicos y novedades contractuales). Por lo tanto se cumple al 100% la meta programada en el trimestre 1, teniendo en cuenta que se publicaron 199 contratos en la plataforma SECOP.</t>
  </si>
  <si>
    <t>Se evidencia en el aplicativo Sipse Local, de la Secretaria Distrital de Gobierno</t>
  </si>
  <si>
    <t xml:space="preserve">La Alcaldía Local de Usme ha registrado 237 contratos de los 247 contratos publicados en la plataforma SECOP I y II, lo que representa un nivel de cumplimiento del 95,95% para el periodo. </t>
  </si>
  <si>
    <t>Reporte seguimiento mensual consolidado
Reporte SIPSE LOCAL
Reporte SECOP</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</si>
  <si>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</si>
  <si>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</si>
  <si>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</si>
  <si>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</si>
  <si>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</si>
  <si>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El FDLU en el periodo del 1 de enero al 31 de marzo de 2021 registró en SIPSE Local 192 contratos de prestación de servicios en estado ejecución.</t>
  </si>
  <si>
    <t xml:space="preserve">La Alcaldía Local de Usme ha registrado 237 contratos en SIPSE Local en estado ejecución de los 240 contratos registrados en SIPSE Local, lo que equivale al 98,75%. </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</si>
  <si>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</si>
  <si>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</si>
  <si>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</si>
  <si>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</si>
  <si>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</si>
  <si>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 xml:space="preserve">El FDLU en el periodo del 1 de enero al 31 de marzo realizo en el aplicativo SIPSE LOCAL el registro de 34 proyectos de inversión y 199 contratos de prestación de servicios. Así como, 20 procesos de gastos de funcionamiento y 133 solicitudes de proceso.
Por lo tanto, se logró una ejecución del 100% teniendo en cuenta que en el aplicativo SEGPLAN se encuentran registrados los 34 proyectos de inversión, en la plataforma SECOP se encuentran los 199 contratos de prestación de servicios y en BOGDATA se encuentra debidamente registrados tanto los 34 proyectos, los 199 contratos y los 20 procesos de funcionamiento. 
</t>
  </si>
  <si>
    <t>El Fondo de Desarrollo Local de Usme - FDLU a corte de 30 de junio de la vigencia 2021, realizó en el aplicativo SIPSE LOCAL el registro de 34 proyectos de inversión y 259 contratos con la información requerida. Así mismo, realizó el registro de 34 proyectos en los aplicativos SEGPLAN y BOGDATA y 260 contratos registrados en el Sistema Electrónico para la Contratación Pública – SECOP- así: en SECOP I dos (2) y SECOP II doscientos cincuenta y ocho (258). Logrando un Porcentaje de registro total de información del 99,66%.</t>
  </si>
  <si>
    <t xml:space="preserve">Información registrada en forma adecuada en los módulos y funcionalidades en producción de SIPSE
Reporte seguimiento mensual consolidado
Reporte SIPSE LOCAL - Link evidencias Actas de inicio SIPSE.
https://drive.google.com/drive/folders/15oW_fpsGH5UXuYC0BuZl4xon1iUfiX3T </t>
  </si>
  <si>
    <t>Información registrada en forma adecuada en los módulos y funcionalidades en producción de SIPSE.
Reporte SIPSE LOCAL</t>
  </si>
  <si>
    <t>Inspección, vigilancia y control</t>
  </si>
  <si>
    <r>
      <t xml:space="preserve">11.Impulsar procesalmente (avocar, rechazar, enviar al competente y todo lo que derive del desarrollo de la actuación), </t>
    </r>
    <r>
      <rPr>
        <b/>
        <sz val="11"/>
        <color indexed="8"/>
        <rFont val="Calibri Light"/>
        <family val="2"/>
      </rPr>
      <t>7.680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</si>
  <si>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</si>
  <si>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</si>
  <si>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</si>
  <si>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</si>
  <si>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</si>
  <si>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</si>
  <si>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Las Inspecciones de Policía de Usme durante del 01 de enero al 31 de marzo de 2021 Impulsaron procesalmente 1.803 expedientes entre los cuales  realizaron las siguientes acciones (avocar, rechazar, enviar al competente y todo lo que derive del desarrollo de la actuación). No obstante, del reporte entregado por la Dirección para la Gestión Policiva proveniente del aplicativo ARCO, se tienen 3 impulsos procesales.</t>
  </si>
  <si>
    <t xml:space="preserve">Aplicativo ARCO
Cuadro Excel con cantidades ejecutadas por cada inspección de Policía de Usme, adjunto en la carpeta de Share Point.
</t>
  </si>
  <si>
    <t>En el segundo trimestre de 2021, la alcaldía local de Usme impulsó procesalmente 1.331 expedientes a cargo de las inspecciones de policía, lo que representa un resultado de 69,32% para el periodo, de acuerdo con el reporte presentado por la Dirección para la Gestión Policiva.
Sin embargo, la alcaldía local de Usme presenta el siguiente avance:  Las Inspecciones de Policía de Usme durante el segundo trimestre de 2021, Impulsaron procesalmente un total de 1.896 Expedientes Policivos de la siguiente forma: Inspección 5 A - Impulsaron 500, Inspección 5 B - Impulsaron 490, Inspección 5 C - Impulsaron 294, Inspección 5 D - Impulsaron 612. Sin embargo, sólo se han podido registrar en el Aplicativo ARCO por parte de las Inspecciones de Policía de Usme durante el segundo trimestre de 2021, 1.610 expedientes policivos impulsados procesalmente de la siguiente forma:
Inspección 5 A - Impulsaron 537 expedientes así:  0 en abril, 145 en mayo y 392 en junio.
Inspección 5 B - Impulsaron 323 expedientes así:  0 en abril, 25 en mayo y 298 en junio. 
Inspección 5 C - Impulsaron 450 expedientes así:  10 en abril, 144 en mayo y 296 en junio.
Inspección 5 D - Impulsaron 537 expedientes así:  0 en abril, 165 en mayo y 300 en junio.</t>
  </si>
  <si>
    <t>Aplicativo ARCO
Cuadro Excel con cantidades ejecutadas y reportadas por cada inspección de Policía de Usme, adjunto en la carpeta de Share Point.</t>
  </si>
  <si>
    <t>En el tercer trimestre de 2021, la alcaldía local de Usme impulsó procesalmente 6.261 expedientes a cargo de las inspecciones de policía, lo que representa un resultado de 326,09% superando la meta programada para el periodo, de acuerdo con el reporte presentado por la Dirección para la Gestión Policiva, así: Julio 2300, Agosto 2003 y septiembre 1958.</t>
  </si>
  <si>
    <t>Reporte de seguimiento presentado por la Dirección para la Gestión Policiva
Aplicativo ARCO
Cuadro Excel con cantidades ejecutadas y reportadas por cada inspección de Policía de Usme, adjunto en la carpeta de Share Point.</t>
  </si>
  <si>
    <r>
      <t xml:space="preserve">12. Proferir </t>
    </r>
    <r>
      <rPr>
        <b/>
        <sz val="11"/>
        <color indexed="8"/>
        <rFont val="Calibri Light"/>
        <family val="2"/>
      </rPr>
      <t>2.880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</si>
  <si>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</si>
  <si>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</si>
  <si>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</si>
  <si>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Las Inspecciones de Policía de Usme durante del 01 de enero al 31 de marzo de 2021 Profirieron 1.403 fallos en primera instancia sobre los expedientes que tienen a cargo de las inspecciones de policía. No obstante, del reporte entregado por la Dirección para la Gestión Policiva proveniente del aplicativo ARCO, se tiene 1 fallo en primera instancia.</t>
  </si>
  <si>
    <t xml:space="preserve">Aplicativo Si Actúa I
Cuadro Excel con cantidades ejecutadas por cada inspección de Policía de Usme, adjunto en la carpeta de Share Point.
</t>
  </si>
  <si>
    <t>En el segundo trimestre de 2021, la alcaldía local de Usme profirió 279 fallos en primera instancia sobre los expedientes a cargo de las inspecciones de policía, lo que representa un resultado de 38,75% para el periodo. 
Sin embargo, según reporta la alcaldía local de Usme, las Inspecciones de Policía de Usme durante del 01 de abril al 30 de junio de 2021 Profirieron 1.781 fallos en primera instancia sobre los expedientes que tienen a cargo, logrando un avance de más del 100%.  No obstante, sólo ve reflejado un avance del 38,75% por cuanto sólo se han podido registrar en el Aplicativo ARCO 279 fallos proferidos. Ello, por fallas que presenta el aplicativo según lo reportado por los Inspectores de Policía de Usme.</t>
  </si>
  <si>
    <t>En el tercer trimestre de 2021, la alcaldía local de Usme superó la meta, respecto a la cantidad programada, por cuanto profirió 3.042 fallos en primera instancia sobre los expedientes a cargo de las inspecciones de policía, lo que representa un resultado de 422,50% para el periodo. De acuerdo con el reporte presentado por la Dirección para la Gestión Policiva, así: Julio 779, Agosto 1335 y septiembre 928.</t>
  </si>
  <si>
    <r>
      <t xml:space="preserve">13. Terminar (archivar), </t>
    </r>
    <r>
      <rPr>
        <b/>
        <sz val="11"/>
        <color indexed="8"/>
        <rFont val="Calibri Light"/>
        <family val="2"/>
      </rPr>
      <t xml:space="preserve">136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</si>
  <si>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</si>
  <si>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</si>
  <si>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</si>
  <si>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</si>
  <si>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</si>
  <si>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 xml:space="preserve">Del 01 de enero del 2021 al 31 de marzo de 2021, se realizaron 27 archivos de expedientes. No obstante, del reporte entregado por la Dirección para la Gestión Policiva proveniente del aplicativo SI ACTUA, se tienen 3 actuaciones administrativas. </t>
  </si>
  <si>
    <t xml:space="preserve">Aplicativo Si Actúa I </t>
  </si>
  <si>
    <t xml:space="preserve">En el II trimestre de 2021, la alcaldía local de Usme terminó 64 actuaciones administrativas, lo que representa un resultado de 100% para el periodo. </t>
  </si>
  <si>
    <t>Reporte de seguimiento presentado por la Dirección para la Gestión Policiva</t>
  </si>
  <si>
    <t>Reporte de seguimiento presentado por la Dirección para la Gestión Policiva
Aplicativo SI ACTUA
Cuadro Excel con cantidades ejecutadas y reportadas por cada inspección de Policía de Usme, adjunto en la carpeta de Share Point.</t>
  </si>
  <si>
    <r>
      <t xml:space="preserve">14. Terminar </t>
    </r>
    <r>
      <rPr>
        <b/>
        <sz val="11"/>
        <color indexed="8"/>
        <rFont val="Calibri Light"/>
        <family val="2"/>
      </rPr>
      <t>291</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</si>
  <si>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</si>
  <si>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</si>
  <si>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Del 01 de enero del 2021 al 31 de marzo de 2021, se 37 realizaron actuaciones de primera instancia. No obstante, del reporte entregado por la Dirección para la Gestión Policiva proveniente del aplicativo SI ACTUA, se tienen 3 actuaciones administrativas en primera instancia.</t>
  </si>
  <si>
    <t xml:space="preserve">En el segundo trimestre de 2021, la alcaldía local de Usme terminó 172 actuaciones administrativas en primera instancia, lo que representa un resultado de 100% para el periodo. </t>
  </si>
  <si>
    <t>Reporte de seguimiento presentado por la Dirección para la Gestión Policiva
Copia de Actuaciones administrativas terminadas por vía gubernativa</t>
  </si>
  <si>
    <r>
      <t xml:space="preserve">15. Realizar </t>
    </r>
    <r>
      <rPr>
        <b/>
        <sz val="11"/>
        <color indexed="8"/>
        <rFont val="Calibri Light"/>
        <family val="2"/>
      </rPr>
      <t>112</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</si>
  <si>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</si>
  <si>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</si>
  <si>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</si>
  <si>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</si>
  <si>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</si>
  <si>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 xml:space="preserve">Del  01 de enero del 2021 al 31 marzo  del 2021, se realizaron 47 operativos en espacio publico, dando cumplimiento a lo requerido </t>
  </si>
  <si>
    <t>Actas de reunion , listados de asistencia e informe exel del primer trimestre</t>
  </si>
  <si>
    <t xml:space="preserve">Durante el segundo trimestre de 2021 la Alcaldía Local de Usme, realizó 27 operativos en materia de Espacio Público en la localidad, superando la meta establecida para el trimestre y logrando un 112,50% de cumplimiento. </t>
  </si>
  <si>
    <t>Actas de reunion , listados de asistencia e informe exel del segundo trimestre</t>
  </si>
  <si>
    <t>Actas de reunion, listados de asistencia e informe exel del tercer trimestre</t>
  </si>
  <si>
    <r>
      <t xml:space="preserve">16. Realizar </t>
    </r>
    <r>
      <rPr>
        <b/>
        <sz val="11"/>
        <color indexed="8"/>
        <rFont val="Calibri Light"/>
        <family val="2"/>
      </rPr>
      <t>130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</si>
  <si>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</si>
  <si>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</si>
  <si>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 xml:space="preserve">Del  01 de enero del 2021 al 31 marzo  del 2021, se realizaron 33 operativos en actividad economica , dando cumplimiento a lo requerido </t>
  </si>
  <si>
    <t xml:space="preserve">Durante el segundo trimestre de 2021 la Alcaldía Local de Usme, realizó 42 operativos en materia de actividad económica en la localidad, superando la meta establecida para el trimestre y logrando un 116,67% de cumplimiento. </t>
  </si>
  <si>
    <t>Actas de reunion , listados de asistencia e informe exel del tercer trimestre</t>
  </si>
  <si>
    <r>
      <t xml:space="preserve">17. Realizar </t>
    </r>
    <r>
      <rPr>
        <b/>
        <sz val="11"/>
        <color indexed="8"/>
        <rFont val="Calibri Light"/>
        <family val="2"/>
      </rPr>
      <t>34</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</si>
  <si>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</si>
  <si>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</si>
  <si>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Del  01 de enero del 2021 al 31 marzo  del 2021, se realizaron 08 operativos de sensibilizacion en obras y urbanismo</t>
  </si>
  <si>
    <t>Actas en carpeta de operativos y respectivamente cargados en Drive</t>
  </si>
  <si>
    <t>La Alcaldía Local de Usme en el periodo de tiempo del 01 de abril del 2021 al 30 de junio del 2021, realizó 9 operativos de Inspección, Vigilancia y Control en materia de obras y urbanismo en la Localidad. Por lo tanto, se logró el 100% de cumplimiento de esta meta en el trimestre.</t>
  </si>
  <si>
    <r>
      <t xml:space="preserve">18. Realizar </t>
    </r>
    <r>
      <rPr>
        <b/>
        <sz val="11"/>
        <color indexed="8"/>
        <rFont val="Calibri Light"/>
        <family val="2"/>
      </rPr>
      <t>22</t>
    </r>
    <r>
      <rPr>
        <sz val="11"/>
        <color indexed="8"/>
        <rFont val="Calibri Light"/>
        <family val="2"/>
      </rPr>
      <t xml:space="preserve"> operativos de inspección, vigilancia y control para dar cumplimiento a los fallos de cerros orientales.</t>
    </r>
  </si>
  <si>
    <t>Acciones de control u operativos para el cumplimiento de los fallos de cerros orientales realizadas</t>
  </si>
  <si>
    <t>Número de Acciones de control u operativos para el cumplimiento de los fallos de cerros orientales realizadas</t>
  </si>
  <si>
    <t xml:space="preserve">Del  01 de enero del 2021 al 31 marzo  del 2021, se realizaron 05 operativos en cerros orientales </t>
  </si>
  <si>
    <t>Durante el Segundo trimestre de 2021 la Alcaldía Local de Usme, realizó 8 operativos en cerros orientales con acompañamiento de diferentes entidades e instituciones.  Por lo tanto, se superó la meta programada para el trimestre.</t>
  </si>
  <si>
    <t>Durante el Tercer trimestre de 2021 la Alcaldía Local de Usme, realizó 9 operativos en cerros orientales con acompañamiento de diferentes entidades e instituciones, superando al 150% de cumplimiento, conforme a la cantidad programada para el trimestre.</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</si>
  <si>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</si>
  <si>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</si>
  <si>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</si>
  <si>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</si>
  <si>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</si>
  <si>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</si>
  <si>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</si>
  <si>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</si>
  <si>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</si>
  <si>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</si>
  <si>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</si>
  <si>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</si>
  <si>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</si>
  <si>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107%, resultados obtenidos de la inspección ambiental realizada el 22  de abril de 2021, empleando el formato: PLE-PIN-F012 Formato inspecciones ambientales para verificación de implementación del plan institucional de gestión ambiental.</t>
  </si>
  <si>
    <t>Reporte de gestión ambiental OAP.
Formato Anexo de Inspecciones Ambientales para verificación de implementación del Sistema de Gestión Ambiental con los Resultados de medición obtenidos de los criterios ambientales establecidos.</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</si>
  <si>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</si>
  <si>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</si>
  <si>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</si>
  <si>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</si>
  <si>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</si>
  <si>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</si>
  <si>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</si>
  <si>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</si>
  <si>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 xml:space="preserve">La localidad no tiene acciones de mejora vencidas. </t>
  </si>
  <si>
    <t>La Alcaldía Local de Usme cuenta con 3 planes de mejoramiento en estado abiertos y un total de 28 acciones en estado ejecución dentro de términos, Así: PM No. 192 con 14 Acciones de mejora, PM No. 216 con 5 Acciones de Mejora y el PM No. 218 con 9 Acciones de Mejora.  Por lo tanto, no se tienen acciones de mejora vencidas a corte de 30 de junio de 2021.</t>
  </si>
  <si>
    <t>Reporte Aplicativo MIMEC</t>
  </si>
  <si>
    <t>La Alcaldía Local de Usme cuenta con 3 planes de mejoramiento en estado abiertos y un total de 28 acciones en estado ejecución dentro de términos, Así: PM No. 192 con 14 Acciones de mejora, PM No. 216 con 5 Acciones de Mejora y el PM No. 218 con 9 Acciones de Mejora.  Por lo tanto, no se tienen acciones de mejora vencidas a corte de 30 de septiembre de 2021.</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</si>
  <si>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</si>
  <si>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</si>
  <si>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</si>
  <si>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</si>
  <si>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</si>
  <si>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</si>
  <si>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</si>
  <si>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</si>
  <si>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</si>
  <si>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de Usme a corte de segundo trimestre de 2021 alcanzo el 94,78% de cumplimiento en la publicación de información en la página web, teniendo en cuenta que cuenta con 109 requisitos de la ley 1712 de 2014 de publicación de la información cumplidos en la página web y 06 no cumplidos de un total de 115 requisitos de la ley 1712 de 2014 de publicación de la información</t>
  </si>
  <si>
    <t>Esquema de publciación página web Alcaldía Local de Usme
Oficina Asesora de Comunicaciones, mediante memorando No. 20211400241773
http://www.usme.gov.co/tabla_archivos/107-registros-publicaciones</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</si>
  <si>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</si>
  <si>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</si>
  <si>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</si>
  <si>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</si>
  <si>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</si>
  <si>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</si>
  <si>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La Alcaldía Local de Usme ha asistido a las capacitaciones realizadas y convocadas por nivel central sobre gestión de riesgos, planes de mejora, y sistema de gestión institucional.</t>
  </si>
  <si>
    <t>Listado de Asistencia Teams</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</si>
  <si>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</si>
  <si>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</si>
  <si>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</si>
  <si>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</si>
  <si>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</si>
  <si>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</si>
  <si>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</si>
  <si>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</si>
  <si>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</si>
  <si>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</si>
  <si>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La localidad ha atendido 10.308 requerimientos de la ciudadanía, correspondientes a las vigencias 2017 a 2020</t>
  </si>
  <si>
    <t>Reporte CRONOS</t>
  </si>
  <si>
    <t xml:space="preserve">La Localidad de Usme ha atendido 10.250 requerimientos ciudadanos, de los 10.318 recibidos, lo que representa un 99,3% de gestión frente a la meta prevista. </t>
  </si>
  <si>
    <t>Reporte Aplicativo CRONOS</t>
  </si>
  <si>
    <t>Total metas transversales (20%)</t>
  </si>
  <si>
    <t xml:space="preserve">Total plan de gestión </t>
  </si>
  <si>
    <t xml:space="preserve">El avance de la meta corresponde a la información que reporta oficialmente la Dirección de Planes de Desarrollo y Fortalecimiento Local de la Secretaria Distrital de Planeación, a través de la Matriz Unificada de Seguimiento a la Inversión MUSI, disponible en la página web de la SDP. Los datos corresponden al corte del segundo trimestre (junio 30 del 2021).
Se tiene previsto contar con los resutados oficiales de la SDP sobre el seguimiento que se adelanta a las metas del PDL de la Alcaldía Local de Usme el 22 de octubre de 2021. </t>
  </si>
  <si>
    <t>No programada para el III trimestre de 2021</t>
  </si>
  <si>
    <t>La Alcaldía Local de Usme a corte 30 de septiembre 2021, logró que 33 de un total de 100 propuestas ganadoras de presupuestos participativos (Fase II) cuenten recursos comprometidos en la vigencia. Adicionalmente, se tienen 25 propuestas de concertación étnica.</t>
  </si>
  <si>
    <t>El Valor de los Giros acumulados realizados por el Fondo de Desarrollo Local de Usme -FDLU a corte del el tercer trimestre de 2021 es = $14.904.862.981
El Valor del Presupuesto comprometido constituido como obligaciones por pagar de la vigencia 2020 es = $24.435.803.567
Por lo tanto, el Porcentaje de giros acumulados de obligaciones por pagar de la vigencia 2020 es de 61,00% a corte de 30 de septiembre de 2021 superando la meta establecida para el periodo.</t>
  </si>
  <si>
    <t xml:space="preserve">La Alcaldía Local de Usme realizó el giro de $14.904.862.981 de los $24.435.803.567 constituidos como obligaciones por pagar de la vigencia 2020. </t>
  </si>
  <si>
    <t xml:space="preserve">El Valor de los Giros acumulados realizados por el Fondo de Desarrollo Local de Usme -FDLU a corte del tercer trimestre de 2021 es = $17.450.659.067.
El Valor del Presupuesto comprometido constituido como obligaciones por pagar de la vigencia 2019 y anteriores es = $ 27.095.185.926
Por lo tanto, el Porcentaje de giros acumulados de obligaciones por pagar de la vigencia 2019 y anteriores es del 64,41% a corte de 30 de septiembre de 2021, superando la meta establecida para el periodo. </t>
  </si>
  <si>
    <t xml:space="preserve">Para el III Trimestre de 2021, la Alcaldía Local de Usme comprometió $34.512.396.845 de los $64.151.762.749 asignados como presupuesto de inversión directa de la vigencia 2021, lo que representa un nivel de ejecución del 53,80% a corte de 30 de septiembre de 2021 y alcanzando un 82,77% de cumplimiento de la meta respecto a lo programado para el tercer trimestre.
</t>
  </si>
  <si>
    <t xml:space="preserve">La Alcaldía Local de Usme a corte de 30 de septiembre logró girar el valor de $27.103.942.095 de los $64.151.762.749 asignados como presupuesto disponible de inversión directa de la vigencia, lo que representa un nivel de ejecución acumulado del 42,25%. Por lo tanto, se da cumplimiento del 100% de ejecución de esta meta conforme a lo programado para el tercer trimestre, ya que superó la meta prevista. 
 </t>
  </si>
  <si>
    <t xml:space="preserve">En el tercer trimestre se han registrado un total de 286 contratos registrados en SIPSE Local y en SECOP II de los 293 contratos publicados en la plataforma SECOP II, para un porcentaje de cumplimiento del 97,61%, por lo tanto se cumple la meta del trimestre al 100%. 
</t>
  </si>
  <si>
    <t>Reporte seguimiento mensual consolidado
Reporte SIPSE LOCAL
Reporte SECOP
Reporte DGDL</t>
  </si>
  <si>
    <t>Reporte seguimiento mensual consolidado
Reporte SIPSE LOCAL
Reporte DGDL</t>
  </si>
  <si>
    <t>Reporte de ejecución presupuestal BOGDATA 
Reporte DGDL</t>
  </si>
  <si>
    <t>A corte del tercer trimestre se encuentran en ejecución un total de 285 contratos de 286 contratos registrados en SIPSE Local, logrando un porcentaje de ejecución del 99,65%. Sin embargo, se aclara que se encuentra suscrito ó legalizado 01, en ejecución 261 y terminado no requiere liquidación 24.</t>
  </si>
  <si>
    <t>El Fondo de Desarrollo Local de Usme - FDLU a corte de 30 de septiembre de la vigencia 2021, realizó en el aplicativo SIPSE LOCAL el registro de 34 proyectos de inversión y 286 contratos con la información requerida. Así mismo, realizó el registro de 34 proyectos en los aplicativos SEGPLAN y BOGDATA y 286 contratos registrados en el Sistema Electrónico para la Contratación Pública – SECOP.</t>
  </si>
  <si>
    <t>En el tercer trimestre de 2021, la Alcaldía Local de Usme terminó 51 actuaciones administrativas, Así: 17 en julio, 14 en agosto y 20 en septiembre, lo que representa un resultado de 121,43% superando la meta programada para el periodo.</t>
  </si>
  <si>
    <t>En el tercer trimestre de 2021, la alcaldía local de Usme terminó 77 actuaciones administrativas en primera instancia, así: 9 en julio, 29 en agosto y 39 en septiembre, lo que representa un resultado de 109% para el periodo.</t>
  </si>
  <si>
    <t>Durante el tercer trimestre de 2021 la Alcaldía Local de Usme, realizó 22 operativos en materia de Espacio Público en la localidad.</t>
  </si>
  <si>
    <t>Durante el segundo trimestre de 2021 la Alcaldía Local de Usme, realizó 43 operativos en materia de actividad económica en la localidad, superando la meta establecida para el trimestre.</t>
  </si>
  <si>
    <t>La Alcaldía Local de Usme en el tercer trimestre de 2021, realizó 9 operativos de Inspección, Vigilancia y Control en materia de obras y urbanismo en la Localidad, logrando la cantidad programada para el trimestre.</t>
  </si>
  <si>
    <t>La Alcaldía Local de Usme ha cumpido 115 de los 115 requisitos de publicación de información en su página web, de acuerdo con lo previsto en la Ley 1712 de 2014, según lo informado por la Oficina Asesora de Comunicaciones de la SDG mediante memorando No. 20211400349573</t>
  </si>
  <si>
    <t>http://www.usme.gov.co/tabla_archivos/107-registros-publicaciones</t>
  </si>
  <si>
    <t>Reporte de requerimientos ciudadanos SGI</t>
  </si>
  <si>
    <t>La localidad de Usme ha atendido 819 requerimientos ciudadanos, de los 819 recibidos, lo que representan un avance acumulado del 100% de gestión frente a la meta prevista. La localidad no tiene peticiones pendientes de respuesta de vigencias anteriores.</t>
  </si>
  <si>
    <t>Para el tercer trimestre de la vigencia 2021, el plan de gestión de la Alcaldía Local alcanzó un nivel de desempeño del 95,38% de acuerdo con lo programado, y del 78,25% acumulado para la vigencia.</t>
  </si>
  <si>
    <t>3 de noviembre de 2021</t>
  </si>
  <si>
    <t>La Alcaldía Local de Usme a corte de 31 de diciembre de 2021, alcanzó el cumplimiento del 13,03% de metas entregadas del Plan de Desarrollo Local. Por lo tanto, se superó la meta establecida llegando al 130% de cumplimiento en el primer año de ejecución del PDL.</t>
  </si>
  <si>
    <t>La Alcaldía Local de Usme a corte de 31 de diciembre de 2021, alcanzó una participación efectiva de votantes  de 8,461 en presupuestos participativos Fase II, respecto a 2.913 votantes de la vigencia 2020. Por lo tanto, se superó la meta establecida llegando al 290,46% para la vigencia 2021.</t>
  </si>
  <si>
    <t xml:space="preserve">La Alcaldía Local de Usme recibió un total de 100 propuestas ganadoras en la fase II de Presupuestos participativos realizados en la vigencia 2020, de las se ejecutaron 100 propuestas en la vigencia 2021 a corte de 31 de diciembre. Por lo tanto, se cumplió la meta al 100%. </t>
  </si>
  <si>
    <t xml:space="preserve">La Alcaldía Local de Usme a corte de 31 de diciembre de 2021 logró girar el valor de $19.262.256.264 con respecto al presupuesto comprometido constituido como obligaciones por pagar de la vigencia 2020 el cual corresponde a $ 244.213.60.641. Logrando un porcentaje de giro del 78,87%. Por lo tanto, se cumplió la meta al 131,46 %. Por lo tanto, se superó  en 31,46% la meta programada para la vigencia. </t>
  </si>
  <si>
    <t xml:space="preserve">La Alcaldía Local de Usme a corte de 31 de diciembre de 2021 logró girar el valor de $19.592.980.818 con respecto al presupuesto comprometido constituido como obligaciones por pagar de la vigencia 2019 el cual corresponde a $ 26.125.761.668. Logrando un porcentaje de giros del 74,99% y cumpliendo la meta al 124,99% Por lo tanto, se superó  en 24,99% la meta programada para la vigencia. </t>
  </si>
  <si>
    <t>La Alcaldía Local de Usme a corte de 31 de diciembre de 2021 logró comprometer el valor de $61.382.585.648 correspondientes a registros presupuestales de inversión directa de la vigencia 2021, de un total de $64.151.762.749 valor correspondiente al presupuesto de inversión directa asignado a la vigencia 2021. Logrando un porcentaje de giros del 95,68% y cumpliendo la meta al 100,72%. Por lo tanto, se superó en 24,99% la meta programada para la vigencia.</t>
  </si>
  <si>
    <t xml:space="preserve">Reporte de ejecución presupuestal BOGDATA </t>
  </si>
  <si>
    <t xml:space="preserve">La Alcaldía Local de Usme a corte de 31 de diciembre de 2021 logró girar el valor de $32.483.204.069 de inversión directa, con respecto al presupuesto disponible de inversión directa de la vigencia 2021 el cual corresponde a $ 64.151.762.749. Logrando un porcentaje de giros acumulados de inversión directa del 50,63% y cumpliendo la meta al 126,59%. Por lo tanto, se superó en 26,59% la meta programada para la vigencia. </t>
  </si>
  <si>
    <t>Reporte seguimiento mensual consolidado
Reporte SIPSE LOCAL</t>
  </si>
  <si>
    <t xml:space="preserve">Información registrada en forma adecuada en los módulos y funcionalidades en producción de SIPSE.
Reporte SIPSE LOCAL
</t>
  </si>
  <si>
    <t>Las Inspecciones de Policía de Usme, durante el IV trimestre de 2021 impulsaron 6.830 expedientes así: Octubre 1.772, Noviembre 3.503 y Diciembre 1.555. Logrando cumplimiento al 355,73%.  Es decir que, se superó la meta establecida para el trimestre en 255,73%.</t>
  </si>
  <si>
    <t xml:space="preserve">Reporte de seguimiento presentado por la Dirección para la Gestión Policiva
Aplicativo ARCO
Cuadro Excel con cantidades ejecutadas y reportadas por cada inspección de Policía de Usme, adjunto en la carpeta de Share Point.
</t>
  </si>
  <si>
    <t>Las Inspecciones de Policía de Usme, durante el IV trimestre de la vigencia 2021, profirieron un total de 2.302 fallos de fondo en primera instancia, así: Octubre 789, Noviembre 1.240 y en Diciembre 273. Logrando cumplimiento al 319,72%. Es decir que, se superó la meta establecida para el trimestre en 219,72%.</t>
  </si>
  <si>
    <t xml:space="preserve">Reporte de seguimiento presentado por la Dirección para la Gestión Policiva
Aplicativo SI ACTUA
Cuadro Excel con cantidades ejecutadas y reportadas por cada inspección de Policía de Usme, adjunto en la carpeta de Share Point.
</t>
  </si>
  <si>
    <t xml:space="preserve">El Área para la Gestión Policiva Jurídica de la Alcaldía Local de Usme, durante el IV trimestre de la vigencia 2021 termino un total de 21 actuaciones administrativas profiriendo fallo en primera instancia, así: Octubre 41, Noviembre 07 y Diciembre 09, logrando un cumplimiento del 100% de la meta en el trimestre.  </t>
  </si>
  <si>
    <t>Durante el IV trimestre de 2021, se realizaron 8 operativos de IVC para dar cumplimiento a los fallos de cerros orientales, así: 03 operativos en octubre y 05 en diciembre, superando el cumplimiento del trimestre en 60%. Por lo tanto, se llegó al 160% de cumplimiento de la meta en el trimestre.</t>
  </si>
  <si>
    <t>Durante el IV trimestre de 2021, se realizaron 9 operativos de IVC en materia de obras y urbanismo, así: 03 operativos en octubre, 05 en noviembre y 01 en diciembre, superando el cumplimiento del trimestre en 12,5%. Por lo tanto, se llegó al 112,5% de cumplimiento de la meta en el trimestre.</t>
  </si>
  <si>
    <t>Se adjunta reporte emitido por aplciativo MIMEC</t>
  </si>
  <si>
    <t xml:space="preserve">La Alcaldía Local de Usme a corte de IV trimestre de 2021, mantuvo actualizada y publicada la información en la página web de la Alcaldía local conforme a los 115 ítems de la Ley 1712 de 2014. Por lo tanto se cumplió al 100% la meta establecida en el trimestre. </t>
  </si>
  <si>
    <t>Esquema registro de publicaciones a corte de IV trimestre de 2021
 Y http://www.usme.gov.co/tabla_archivos/107-registros-publicaciones</t>
  </si>
  <si>
    <t>La Alcaldía Local de Usme hasitió a las capacitaciones y reuniones convocadas por la Oficina Asesora de Planeación de la SDG, y realizadas sobre gestión de riesgos, planes de mejora y sistema de gestión institucional. Cumpliendo la meta al 100%</t>
  </si>
  <si>
    <t>Listados de Asistencia y/o enlaces en Aplicativo Teams</t>
  </si>
  <si>
    <t>La localidad de Usme a corte de 31 de diciembre de 2020, recibió 1.963  requerimientos ciudadanos, de los cuales se emitió respuesta a 1.963 PQRS, lo que representa un avance acumulado del 100% de gestión frente a la meta prevista. La localidad no tiene peticiones pendientes de respuesta de la vigencia 2020 y vigencias anteriores. Por lo tanto, se cumplió la meta al 100%.</t>
  </si>
  <si>
    <t>El Área para la Gestión Policiva Jurídica de la Alcaldía Local de Usme, durante el IV trimestre de la vigencia 2021 termino un total de 37 actuaciones administrativas emitiendo auto de archivo, alcanzando un cumplimiento del 137% de la meta en el trimestre.</t>
  </si>
  <si>
    <t>formato de inspección diligenciado</t>
  </si>
  <si>
    <t>La Alcaldía Local de Usme como resultado de la meta transversal para el segundo semestre del año dio cumplimiento del 99% en la implementación del sistema de gestión ambiental. Por lo tanto, se superó el porcentaje de cumplimiento conforme a lo programado en la meta  Ambiental.</t>
  </si>
  <si>
    <t>Durante el IV trimestre de 2021, se realizaron 46 operativos de IVC en materia de integridad del espacio público, así: 26 operativos en octubre Y 20 en noviembre, superando el cumplimiento del trimestre en 91,67%. Por lo tanto, se llegó al 191,67% de cumplimiento de la meta en el trimestre.</t>
  </si>
  <si>
    <t>Durante el IV trimestre de 2021, se realizaron 43 operativos de IVC en materia de actividad económica, así: 28 operativos en octubre Y 15 en noviembre, superando el cumplimiento del trimestre en 34,38%. Por lo tanto, se llegó al 134,38% de cumplimiento de la meta en el trimestre.</t>
  </si>
  <si>
    <t>La Alcaldía Local de Usme durante el IV trimestre de la vigencia 2021, realizó en el aplicativo SIPSE LOCAL el registro de 34 proyectos de inversión y 154 contratos con la información requerida. Así mismo, realizó el registro de 34 proyectos en los aplicativos SEGPLAN y BOGDATA y 154 contratos registrados en el Sistema Electrónico para la Contratación Pública – SECOP. Por lo anterior, se cumplió la meta establecida para el trimestre al 100%</t>
  </si>
  <si>
    <t>El avance del PDL a corte de 31 de diciembre de 2021 corresponde a 13,03% Por lo tanto, la meta de la vigencia 2021 se cumplió al 100% conforme al seguimiento interno que se hace en la Oficina de Planeación de la Alcaldía Local. Sin embargo, la información que reporta oficialmente la Dirección de Planes de Desarrollo y Fortalecimiento Local de la Secretaria Distrital de Planeación, a través de la Matriz Unificada de Seguimiento a la Inversión MUSI, no ha sido entregada.</t>
  </si>
  <si>
    <t xml:space="preserve">La Alcaldía Local de Usme recibió un total de 100 propuestas ganadoras en la fase II de Presupuestos participativos realizados en la vigencia 2020, de las se ejecutaron 100 propuestas en la vigencia 2021 a corte de 31 de diciembre. Por lo tanto, se cumplió la meta de la vigencia al 100%. </t>
  </si>
  <si>
    <t xml:space="preserve">La Alcaldía Local de Usmurante el IV trimestre de 2021, logro registrar en el Aplicativo SIPSE Local un total de 154 contratos, de un total de   154contratos publicados en la plataforma SECOP. Logrando el 100% de contratos registrados Vs. los publicados. Razón por la cual, se cumplió la meta en el trimestre. </t>
  </si>
  <si>
    <t>Se registraron 400 contratos en el sistema SIPSE Local, de los 400 contratos publicados en la plataforma SECOP I y II durante la vigencia 2021. Por lo tanto se logró un avance acumulado del 97,74% en la vigencia y un cumplimiento del 100% de la meta en el año.</t>
  </si>
  <si>
    <t>La Alcaldía Local de Usme durante el cuarto trimestre de 2021 registro en SIPSE Local en estado ejecución un total de 278 contratos de 283 contratos registrados en SIPSE Local. , logrando un porcentaje de ejecución del 98,23%. Sin embargo, se aclara que se encuentra suscrito ó legalizado 01, en ejecución 261 y terminado no requiere liquidación 24.</t>
  </si>
  <si>
    <t>Se logró que 400 contratos registrados en SIPSE Local, de los 400 contratos celebrados, los cuales se encuentren en estado Ejecución fisicamente y en el sistema SIPSE Local esta pendiente de las actas de inicio para dejarlo en ejecución. Sin embargo, se logró un 94,23% de cumplimiento acumulado en la vigencia 2021.</t>
  </si>
  <si>
    <t>La Alcaldía Local de Usme en la vigencia 2021, realizó en el aplicativo SIPSE LOCAL el registro de un total de 34 proyectos de inversión y 400 contratos con la información requerida. Así mismo, realizó el registro de 34 proyectos en los aplicativos SEGPLAN y BOGDATA y 400 contratos registrados en el Sistema Electrónico para la Contratación Pública – SECOP. logrando un avance de ejecución de la meta  del 99,32% en la vigencia  y un cumplimiento del 100% .</t>
  </si>
  <si>
    <t>Las Inspecciones de Policía de Usme cumplieron al 100% la meta establecida sobre impusar procesalemente 7.680 expedientes en la vigencia 2021.</t>
  </si>
  <si>
    <t xml:space="preserve">Las Inspecciones de Policía de Usme cumplieron en la vigencia 2021, la meta al 100% respecto a proferir fallos en primera instancia sobre los expedientes a cargo de las inspecciones de policía. </t>
  </si>
  <si>
    <t>La Alcaldía Local de Usme, realizó un total de 30 operativos en cerros orientales con acompañamiento de diferentes entidades e instituciones, logrando el 100% de cumplimiento acumulado de la meta en la vigencia 2021.</t>
  </si>
  <si>
    <t>La Alcaldía Local de Usme realizó un total de 26 operativos de Inspección, Vigilancia y Control en materia de obras y urbanismo en la Localidad, logrando el 100% de cumplimiento acumulado de esta meta en la vitencia 2021.</t>
  </si>
  <si>
    <t>La Alcaldía Local de Usme, realizó un total de 161 operativos en materia de actividad económica en la localidad, logrando un 100% de cumplimiento acumulado de la meta en la vigencia 2021.</t>
  </si>
  <si>
    <t>La Alcaldía Local de Usme, realizó un total de 142 operativos en la vigencia 2021, en materia de Espacio Público en la localidad, logrando un 100% de cumplimiento acumulado, en la vigencia 2021.</t>
  </si>
  <si>
    <t>La alcaldía local de Usme terminó 253 actuaciones administrativas en primera instancia, lo que representa un resultado de 100% acumulado para la vigencia, dando cumplimiento a la meta, en la vigencia 2021.</t>
  </si>
  <si>
    <t>La alcaldía local de Usme terminó 155 actuaciones administrativas en la vigencia 2021, lo que representa un resultado de 100% acumulado para la vigencia, dando cumplimiento a la meta.</t>
  </si>
  <si>
    <t>La Alcaldía Local de Usme obtuvo un resultado acumulado en la vigencia 2021 de 103%, en la implementación del sistema de gestión ambiental, lo que representa un avance acumulado de la meta del 128,75%.</t>
  </si>
  <si>
    <t>La Alcaldía Local de Usme a corte de 31 de diciembre  de  2021, cerró 28 acciones de mejora en el aplicativo MIMEC, de las cuales se cargaron los soportes correspondientes de los planes de mejoramiento No. 192, 216 y 218. Así mismo, se realizó la formulación de los planes de los planes de mejoramiento No. 252 y 272 cuyas acciones tienen como fecha de ejecución de enero a diciembre de la vigencia 2022. Por lo anterior, se cumple la meta al 100%.</t>
  </si>
  <si>
    <t>La Alcaldía Local de Usme ha cumpido 115 de los 115 requisitos de publicación de información en su página web, de acuerdo con lo previsto en la Ley 1712 de 2014,logrando un avance de ejecución en la vigencia  2021 del 98,16% .</t>
  </si>
  <si>
    <t xml:space="preserve">La Alcaldía Local de Usmedió cumplimiento al 100% de la meta, asistiendo a las capacitaciones y reuniones convocadas desde nivel central de la Secretaria Distrital de Gobierno en gestión de riesgos, planes de mejora y sistemas de gestión institucional. </t>
  </si>
  <si>
    <t>La localidad de Usme a corte de 31 de diciembre de 2020, recibió 1.963  requerimientos ciudadanos, de los cuales se emitió respuesta a 1.963 PQRS, lo que representa un avance acumulado del 100% de gestión frente a la meta prevista. La localidad no tiene peticiones pendientes de respuesta de la vigencia 2020 y vigencias anteriores. Por lo tanto, se cumplió la meta al 100% en la vigencia.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</si>
</sst>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s>
  <fonts count="58">
    <font>
      <sz val="11"/>
      <color theme="1"/>
      <name val="Calibri"/>
      <family val="2"/>
    </font>
    <font>
      <sz val="11"/>
      <color indexed="8"/>
      <name val="Calibri"/>
      <family val="2"/>
    </font>
    <font>
      <sz val="11"/>
      <color indexed="8"/>
      <name val="Calibri Light"/>
      <family val="2"/>
    </font>
    <font>
      <b/>
      <sz val="11"/>
      <color indexed="8"/>
      <name val="Calibri Light"/>
      <family val="2"/>
    </font>
    <font>
      <b/>
      <u val="single"/>
      <sz val="11"/>
      <color indexed="8"/>
      <name val="Calibri Light"/>
      <family val="2"/>
    </font>
    <font>
      <b/>
      <sz val="11"/>
      <name val="Calibri Light"/>
      <family val="2"/>
    </font>
    <font>
      <sz val="11"/>
      <name val="Calibri Light"/>
      <family val="2"/>
    </font>
    <font>
      <u val="single"/>
      <sz val="11"/>
      <color indexed="30"/>
      <name val="Calibri"/>
      <family val="2"/>
    </font>
    <font>
      <sz val="12"/>
      <color indexed="8"/>
      <name val="Calibri Light"/>
      <family val="2"/>
    </font>
    <font>
      <b/>
      <sz val="12"/>
      <color indexed="8"/>
      <name val="Calibri Light"/>
      <family val="2"/>
    </font>
    <font>
      <sz val="11"/>
      <color indexed="30"/>
      <name val="Calibri Light"/>
      <family val="2"/>
    </font>
    <font>
      <b/>
      <sz val="12"/>
      <color indexed="30"/>
      <name val="Calibri Light"/>
      <family val="2"/>
    </font>
    <font>
      <sz val="14"/>
      <color indexed="8"/>
      <name val="Calibri Light"/>
      <family val="2"/>
    </font>
    <font>
      <b/>
      <sz val="14"/>
      <color indexed="8"/>
      <name val="Calibri Light"/>
      <family val="2"/>
    </font>
    <font>
      <b/>
      <sz val="11"/>
      <color indexed="30"/>
      <name val="Calibri Light"/>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Calibri Light"/>
      <family val="2"/>
    </font>
    <font>
      <b/>
      <sz val="11"/>
      <color theme="1"/>
      <name val="Calibri Light"/>
      <family val="2"/>
    </font>
    <font>
      <sz val="12"/>
      <color theme="1"/>
      <name val="Calibri Light"/>
      <family val="2"/>
    </font>
    <font>
      <b/>
      <sz val="12"/>
      <color theme="1"/>
      <name val="Calibri Light"/>
      <family val="2"/>
    </font>
    <font>
      <sz val="11"/>
      <color rgb="FF0070C0"/>
      <name val="Calibri Light"/>
      <family val="2"/>
    </font>
    <font>
      <b/>
      <sz val="12"/>
      <color rgb="FF0070C0"/>
      <name val="Calibri Light"/>
      <family val="2"/>
    </font>
    <font>
      <sz val="14"/>
      <color theme="1"/>
      <name val="Calibri Light"/>
      <family val="2"/>
    </font>
    <font>
      <b/>
      <sz val="14"/>
      <color theme="1"/>
      <name val="Calibri Light"/>
      <family val="2"/>
    </font>
    <font>
      <b/>
      <sz val="11"/>
      <color rgb="FF0070C0"/>
      <name val="Calibri Light"/>
      <family val="2"/>
    </font>
    <font>
      <sz val="11"/>
      <color rgb="FF000000"/>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57">
    <xf numFmtId="0" fontId="0" fillId="0" borderId="0" xfId="0" applyFont="1" applyAlignment="1">
      <alignment/>
    </xf>
    <xf numFmtId="0" fontId="48" fillId="0" borderId="0" xfId="0" applyFont="1" applyAlignment="1" applyProtection="1">
      <alignment vertical="center" wrapText="1"/>
      <protection hidden="1"/>
    </xf>
    <xf numFmtId="0" fontId="49" fillId="13" borderId="10" xfId="0" applyFont="1" applyFill="1" applyBorder="1" applyAlignment="1" applyProtection="1">
      <alignment horizontal="center" vertical="center" wrapText="1"/>
      <protection hidden="1"/>
    </xf>
    <xf numFmtId="10" fontId="48" fillId="0" borderId="10" xfId="54" applyNumberFormat="1" applyFont="1" applyBorder="1" applyAlignment="1" applyProtection="1">
      <alignment horizontal="right" vertical="center" wrapText="1"/>
      <protection hidden="1"/>
    </xf>
    <xf numFmtId="10" fontId="48" fillId="0" borderId="10" xfId="0" applyNumberFormat="1" applyFont="1" applyBorder="1" applyAlignment="1" applyProtection="1">
      <alignment horizontal="left" vertical="center" wrapText="1"/>
      <protection hidden="1"/>
    </xf>
    <xf numFmtId="9" fontId="48" fillId="0" borderId="10" xfId="0" applyNumberFormat="1" applyFont="1" applyBorder="1" applyAlignment="1" applyProtection="1">
      <alignment horizontal="left" vertical="center" wrapText="1"/>
      <protection hidden="1"/>
    </xf>
    <xf numFmtId="9" fontId="48" fillId="0" borderId="10" xfId="0" applyNumberFormat="1" applyFont="1" applyBorder="1" applyAlignment="1" applyProtection="1">
      <alignment horizontal="center" vertical="center" wrapText="1"/>
      <protection hidden="1"/>
    </xf>
    <xf numFmtId="9" fontId="48" fillId="0" borderId="10" xfId="0" applyNumberFormat="1" applyFont="1" applyBorder="1" applyAlignment="1" applyProtection="1">
      <alignment horizontal="justify" vertical="center" wrapText="1"/>
      <protection hidden="1"/>
    </xf>
    <xf numFmtId="0" fontId="48" fillId="0" borderId="0" xfId="0" applyFont="1" applyAlignment="1" applyProtection="1">
      <alignment horizontal="left" vertical="center" wrapText="1"/>
      <protection hidden="1"/>
    </xf>
    <xf numFmtId="9" fontId="48" fillId="0" borderId="10" xfId="54" applyFont="1" applyBorder="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xf numFmtId="41" fontId="48" fillId="0" borderId="10" xfId="49" applyFont="1" applyBorder="1" applyAlignment="1" applyProtection="1">
      <alignment horizontal="left" vertical="center" wrapText="1"/>
      <protection hidden="1"/>
    </xf>
    <xf numFmtId="41" fontId="48" fillId="0" borderId="10" xfId="0" applyNumberFormat="1" applyFont="1" applyBorder="1" applyAlignment="1" applyProtection="1">
      <alignment horizontal="left" vertical="center" wrapText="1"/>
      <protection hidden="1"/>
    </xf>
    <xf numFmtId="41" fontId="48" fillId="0" borderId="10" xfId="49" applyFont="1" applyBorder="1" applyAlignment="1" applyProtection="1">
      <alignment horizontal="center" vertical="center" wrapText="1"/>
      <protection hidden="1"/>
    </xf>
    <xf numFmtId="0" fontId="48" fillId="0" borderId="10" xfId="0" applyFont="1" applyBorder="1" applyAlignment="1" applyProtection="1">
      <alignment horizontal="right" vertical="center" wrapText="1"/>
      <protection hidden="1"/>
    </xf>
    <xf numFmtId="0" fontId="50" fillId="5" borderId="10" xfId="0" applyFont="1" applyFill="1" applyBorder="1" applyAlignment="1" applyProtection="1">
      <alignment vertical="center" wrapText="1"/>
      <protection hidden="1"/>
    </xf>
    <xf numFmtId="0" fontId="51" fillId="5" borderId="10" xfId="0" applyFont="1" applyFill="1" applyBorder="1" applyAlignment="1" applyProtection="1">
      <alignment vertical="center"/>
      <protection hidden="1"/>
    </xf>
    <xf numFmtId="9" fontId="51" fillId="5" borderId="10" xfId="54" applyFont="1" applyFill="1" applyBorder="1" applyAlignment="1" applyProtection="1">
      <alignment vertical="center" wrapText="1"/>
      <protection hidden="1"/>
    </xf>
    <xf numFmtId="0" fontId="50" fillId="0" borderId="0" xfId="0" applyFont="1" applyAlignment="1" applyProtection="1">
      <alignment vertical="center" wrapText="1"/>
      <protection hidden="1"/>
    </xf>
    <xf numFmtId="0" fontId="52" fillId="0" borderId="10" xfId="0" applyFont="1" applyBorder="1" applyAlignment="1" applyProtection="1">
      <alignment horizontal="left" vertical="center" wrapText="1"/>
      <protection hidden="1"/>
    </xf>
    <xf numFmtId="9" fontId="52" fillId="0" borderId="10" xfId="0" applyNumberFormat="1" applyFont="1" applyBorder="1" applyAlignment="1" applyProtection="1">
      <alignment horizontal="right" vertical="center" wrapText="1"/>
      <protection hidden="1"/>
    </xf>
    <xf numFmtId="0" fontId="52" fillId="33" borderId="10" xfId="0" applyFont="1" applyFill="1" applyBorder="1" applyAlignment="1" applyProtection="1">
      <alignment horizontal="left" vertical="center" wrapText="1"/>
      <protection hidden="1"/>
    </xf>
    <xf numFmtId="9" fontId="52" fillId="33" borderId="10" xfId="0" applyNumberFormat="1" applyFont="1" applyFill="1" applyBorder="1" applyAlignment="1" applyProtection="1">
      <alignment horizontal="right" vertical="center" wrapText="1"/>
      <protection hidden="1"/>
    </xf>
    <xf numFmtId="9" fontId="52" fillId="0" borderId="10" xfId="54" applyFont="1" applyBorder="1" applyAlignment="1" applyProtection="1">
      <alignment horizontal="center" vertical="center" wrapText="1"/>
      <protection hidden="1"/>
    </xf>
    <xf numFmtId="9" fontId="52" fillId="0" borderId="10" xfId="54" applyFont="1" applyBorder="1" applyAlignment="1" applyProtection="1">
      <alignment horizontal="justify" vertical="center" wrapText="1"/>
      <protection hidden="1"/>
    </xf>
    <xf numFmtId="9" fontId="52" fillId="0" borderId="10" xfId="0" applyNumberFormat="1" applyFont="1" applyBorder="1" applyAlignment="1" applyProtection="1">
      <alignment horizontal="center" vertical="center" wrapText="1"/>
      <protection hidden="1"/>
    </xf>
    <xf numFmtId="9" fontId="52" fillId="33" borderId="10" xfId="54" applyFont="1" applyFill="1" applyBorder="1" applyAlignment="1" applyProtection="1">
      <alignment horizontal="right" vertical="center" wrapText="1"/>
      <protection hidden="1"/>
    </xf>
    <xf numFmtId="0" fontId="52" fillId="0" borderId="10" xfId="0" applyFont="1" applyBorder="1" applyAlignment="1" applyProtection="1">
      <alignment horizontal="justify" vertical="center" wrapText="1"/>
      <protection hidden="1"/>
    </xf>
    <xf numFmtId="10" fontId="52" fillId="0" borderId="10" xfId="0" applyNumberFormat="1" applyFont="1" applyBorder="1" applyAlignment="1" applyProtection="1">
      <alignment horizontal="center" vertical="center" wrapText="1"/>
      <protection hidden="1"/>
    </xf>
    <xf numFmtId="164" fontId="52" fillId="0" borderId="10" xfId="0" applyNumberFormat="1" applyFont="1" applyBorder="1" applyAlignment="1" applyProtection="1">
      <alignment horizontal="center" vertical="center" wrapText="1"/>
      <protection hidden="1"/>
    </xf>
    <xf numFmtId="164" fontId="48" fillId="0" borderId="10" xfId="0" applyNumberFormat="1" applyFont="1" applyBorder="1" applyAlignment="1" applyProtection="1">
      <alignment horizontal="center" vertical="center" wrapText="1"/>
      <protection hidden="1"/>
    </xf>
    <xf numFmtId="0" fontId="48" fillId="0" borderId="0" xfId="0" applyFont="1" applyAlignment="1" applyProtection="1">
      <alignment horizontal="center" vertical="center" wrapText="1"/>
      <protection hidden="1"/>
    </xf>
    <xf numFmtId="0" fontId="49" fillId="5" borderId="10" xfId="0" applyFont="1" applyFill="1" applyBorder="1" applyAlignment="1" applyProtection="1">
      <alignment vertical="center" wrapText="1"/>
      <protection hidden="1"/>
    </xf>
    <xf numFmtId="0" fontId="48" fillId="0" borderId="0" xfId="0" applyFont="1" applyAlignment="1" applyProtection="1">
      <alignment horizontal="justify" vertical="center" wrapText="1"/>
      <protection hidden="1"/>
    </xf>
    <xf numFmtId="0" fontId="53" fillId="5" borderId="10" xfId="0" applyFont="1" applyFill="1" applyBorder="1" applyAlignment="1" applyProtection="1">
      <alignment vertical="center" wrapText="1"/>
      <protection hidden="1"/>
    </xf>
    <xf numFmtId="9" fontId="53" fillId="5" borderId="10" xfId="54" applyFont="1" applyFill="1" applyBorder="1" applyAlignment="1" applyProtection="1">
      <alignment vertical="center" wrapText="1"/>
      <protection hidden="1"/>
    </xf>
    <xf numFmtId="9" fontId="53" fillId="5" borderId="10" xfId="0" applyNumberFormat="1" applyFont="1" applyFill="1" applyBorder="1" applyAlignment="1" applyProtection="1">
      <alignment vertical="center" wrapText="1"/>
      <protection hidden="1"/>
    </xf>
    <xf numFmtId="0" fontId="54" fillId="11" borderId="10" xfId="0" applyFont="1" applyFill="1" applyBorder="1" applyAlignment="1" applyProtection="1">
      <alignment vertical="center" wrapText="1"/>
      <protection hidden="1"/>
    </xf>
    <xf numFmtId="0" fontId="55" fillId="11" borderId="10" xfId="0" applyFont="1" applyFill="1" applyBorder="1" applyAlignment="1" applyProtection="1">
      <alignment vertical="center" wrapText="1"/>
      <protection hidden="1"/>
    </xf>
    <xf numFmtId="9" fontId="55" fillId="11" borderId="10" xfId="54" applyFont="1" applyFill="1" applyBorder="1" applyAlignment="1" applyProtection="1">
      <alignment vertical="center" wrapText="1"/>
      <protection hidden="1"/>
    </xf>
    <xf numFmtId="9" fontId="54" fillId="11" borderId="10" xfId="54" applyFont="1" applyFill="1" applyBorder="1" applyAlignment="1" applyProtection="1">
      <alignment vertical="center" wrapText="1"/>
      <protection hidden="1"/>
    </xf>
    <xf numFmtId="0" fontId="54" fillId="0" borderId="0" xfId="0" applyFont="1" applyAlignment="1" applyProtection="1">
      <alignment vertical="center" wrapText="1"/>
      <protection hidden="1"/>
    </xf>
    <xf numFmtId="10" fontId="52" fillId="0" borderId="10" xfId="54" applyNumberFormat="1" applyFont="1" applyBorder="1" applyAlignment="1" applyProtection="1">
      <alignment horizontal="center" vertical="center" wrapText="1"/>
      <protection hidden="1"/>
    </xf>
    <xf numFmtId="0" fontId="49" fillId="5" borderId="10" xfId="0" applyFont="1" applyFill="1" applyBorder="1" applyAlignment="1" applyProtection="1">
      <alignment horizontal="center" vertical="center" wrapText="1"/>
      <protection hidden="1"/>
    </xf>
    <xf numFmtId="0" fontId="48" fillId="0" borderId="10" xfId="0" applyFont="1" applyBorder="1" applyAlignment="1" applyProtection="1">
      <alignment horizontal="center" vertical="center" wrapText="1"/>
      <protection hidden="1"/>
    </xf>
    <xf numFmtId="0" fontId="48" fillId="0" borderId="10" xfId="0" applyFont="1" applyBorder="1" applyAlignment="1" applyProtection="1">
      <alignment horizontal="left" vertical="center" wrapText="1"/>
      <protection hidden="1"/>
    </xf>
    <xf numFmtId="0" fontId="49" fillId="2" borderId="10" xfId="0" applyFont="1" applyFill="1" applyBorder="1" applyAlignment="1" applyProtection="1">
      <alignment horizontal="center" vertical="center" wrapText="1"/>
      <protection hidden="1"/>
    </xf>
    <xf numFmtId="0" fontId="49" fillId="11" borderId="10" xfId="0" applyFont="1" applyFill="1" applyBorder="1" applyAlignment="1" applyProtection="1">
      <alignment horizontal="center" vertical="center" wrapText="1"/>
      <protection hidden="1"/>
    </xf>
    <xf numFmtId="0" fontId="49" fillId="8" borderId="10" xfId="0" applyFont="1" applyFill="1" applyBorder="1" applyAlignment="1" applyProtection="1">
      <alignment horizontal="center" vertical="center" wrapText="1"/>
      <protection hidden="1"/>
    </xf>
    <xf numFmtId="10" fontId="6" fillId="0" borderId="10" xfId="54" applyNumberFormat="1" applyFont="1" applyBorder="1" applyAlignment="1" applyProtection="1">
      <alignment horizontal="right" vertical="center" wrapText="1"/>
      <protection hidden="1"/>
    </xf>
    <xf numFmtId="9" fontId="6" fillId="0" borderId="10" xfId="0" applyNumberFormat="1" applyFont="1" applyBorder="1" applyAlignment="1" applyProtection="1">
      <alignment horizontal="left" vertical="center" wrapText="1"/>
      <protection hidden="1"/>
    </xf>
    <xf numFmtId="9" fontId="6" fillId="0" borderId="10" xfId="0" applyNumberFormat="1" applyFont="1" applyBorder="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9" fontId="52" fillId="0" borderId="10" xfId="54" applyFont="1" applyBorder="1" applyAlignment="1" applyProtection="1">
      <alignment horizontal="justify" vertical="top" wrapText="1"/>
      <protection hidden="1"/>
    </xf>
    <xf numFmtId="0" fontId="48" fillId="0" borderId="0" xfId="0" applyFont="1" applyAlignment="1" applyProtection="1">
      <alignment horizontal="justify" vertical="top" wrapText="1"/>
      <protection hidden="1"/>
    </xf>
    <xf numFmtId="0" fontId="52" fillId="0" borderId="10" xfId="0" applyFont="1" applyBorder="1" applyAlignment="1" applyProtection="1">
      <alignment horizontal="justify" vertical="top" wrapText="1"/>
      <protection hidden="1"/>
    </xf>
    <xf numFmtId="9" fontId="48" fillId="0" borderId="10" xfId="0" applyNumberFormat="1" applyFont="1" applyBorder="1" applyAlignment="1" applyProtection="1">
      <alignment horizontal="justify" vertical="top" wrapText="1"/>
      <protection hidden="1"/>
    </xf>
    <xf numFmtId="9" fontId="49" fillId="5" borderId="10" xfId="54" applyFont="1" applyFill="1" applyBorder="1" applyAlignment="1" applyProtection="1">
      <alignment horizontal="center" vertical="center" wrapText="1"/>
      <protection hidden="1"/>
    </xf>
    <xf numFmtId="0" fontId="48" fillId="5" borderId="10" xfId="0" applyFont="1" applyFill="1" applyBorder="1" applyAlignment="1" applyProtection="1">
      <alignment horizontal="justify" vertical="center" wrapText="1"/>
      <protection hidden="1"/>
    </xf>
    <xf numFmtId="10" fontId="49" fillId="5" borderId="10" xfId="54" applyNumberFormat="1" applyFont="1" applyFill="1" applyBorder="1" applyAlignment="1" applyProtection="1">
      <alignment horizontal="center" vertical="center" wrapText="1"/>
      <protection hidden="1"/>
    </xf>
    <xf numFmtId="0" fontId="48" fillId="5" borderId="10" xfId="0" applyFont="1" applyFill="1" applyBorder="1" applyAlignment="1" applyProtection="1">
      <alignment horizontal="justify" vertical="top" wrapText="1"/>
      <protection hidden="1"/>
    </xf>
    <xf numFmtId="9" fontId="56" fillId="5" borderId="10" xfId="0" applyNumberFormat="1" applyFont="1" applyFill="1" applyBorder="1" applyAlignment="1" applyProtection="1">
      <alignment horizontal="center" vertical="center" wrapText="1"/>
      <protection hidden="1"/>
    </xf>
    <xf numFmtId="10" fontId="56" fillId="5" borderId="10" xfId="0" applyNumberFormat="1" applyFont="1" applyFill="1" applyBorder="1" applyAlignment="1" applyProtection="1">
      <alignment horizontal="center" vertical="center" wrapText="1"/>
      <protection hidden="1"/>
    </xf>
    <xf numFmtId="10" fontId="48" fillId="5" borderId="10" xfId="0" applyNumberFormat="1" applyFont="1" applyFill="1" applyBorder="1" applyAlignment="1" applyProtection="1">
      <alignment horizontal="justify" vertical="top" wrapText="1"/>
      <protection hidden="1"/>
    </xf>
    <xf numFmtId="9" fontId="48" fillId="11" borderId="10" xfId="54" applyFont="1" applyFill="1" applyBorder="1" applyAlignment="1" applyProtection="1">
      <alignment horizontal="center" vertical="center" wrapText="1"/>
      <protection hidden="1"/>
    </xf>
    <xf numFmtId="9" fontId="49" fillId="11" borderId="10" xfId="0" applyNumberFormat="1" applyFont="1" applyFill="1" applyBorder="1" applyAlignment="1" applyProtection="1">
      <alignment horizontal="center" vertical="center" wrapText="1"/>
      <protection hidden="1"/>
    </xf>
    <xf numFmtId="0" fontId="48" fillId="11" borderId="10" xfId="0" applyFont="1" applyFill="1" applyBorder="1" applyAlignment="1" applyProtection="1">
      <alignment horizontal="justify" vertical="center" wrapText="1"/>
      <protection hidden="1"/>
    </xf>
    <xf numFmtId="10" fontId="49" fillId="11" borderId="10" xfId="0" applyNumberFormat="1" applyFont="1" applyFill="1" applyBorder="1" applyAlignment="1" applyProtection="1">
      <alignment horizontal="center" vertical="center" wrapText="1"/>
      <protection hidden="1"/>
    </xf>
    <xf numFmtId="10" fontId="48" fillId="11" borderId="10" xfId="0" applyNumberFormat="1" applyFont="1" applyFill="1" applyBorder="1" applyAlignment="1" applyProtection="1">
      <alignment horizontal="justify" vertical="top" wrapText="1"/>
      <protection hidden="1"/>
    </xf>
    <xf numFmtId="0" fontId="48" fillId="11" borderId="10" xfId="0" applyFont="1" applyFill="1" applyBorder="1" applyAlignment="1" applyProtection="1">
      <alignment horizontal="justify" vertical="top" wrapText="1"/>
      <protection hidden="1"/>
    </xf>
    <xf numFmtId="165" fontId="48" fillId="0" borderId="10" xfId="48" applyNumberFormat="1" applyFont="1" applyBorder="1" applyAlignment="1" applyProtection="1">
      <alignment horizontal="justify" vertical="top"/>
      <protection/>
    </xf>
    <xf numFmtId="10" fontId="57" fillId="0" borderId="11" xfId="0" applyNumberFormat="1" applyFont="1" applyBorder="1" applyAlignment="1">
      <alignment horizontal="center" vertical="center" wrapText="1"/>
    </xf>
    <xf numFmtId="10" fontId="57" fillId="0" borderId="11" xfId="0" applyNumberFormat="1" applyFont="1" applyBorder="1" applyAlignment="1">
      <alignment horizontal="justify" vertical="top" wrapText="1"/>
    </xf>
    <xf numFmtId="0" fontId="48" fillId="0" borderId="10" xfId="0" applyFont="1" applyBorder="1" applyAlignment="1">
      <alignment horizontal="justify" vertical="top" wrapText="1"/>
    </xf>
    <xf numFmtId="0" fontId="57" fillId="0" borderId="10" xfId="0" applyFont="1" applyBorder="1" applyAlignment="1">
      <alignment horizontal="justify" vertical="top" wrapText="1"/>
    </xf>
    <xf numFmtId="0" fontId="57" fillId="0" borderId="12" xfId="0" applyFont="1" applyBorder="1" applyAlignment="1">
      <alignment horizontal="justify" vertical="top" wrapText="1"/>
    </xf>
    <xf numFmtId="9" fontId="6" fillId="0" borderId="10" xfId="0" applyNumberFormat="1" applyFont="1" applyBorder="1" applyAlignment="1">
      <alignment horizontal="center" vertical="center" wrapText="1"/>
    </xf>
    <xf numFmtId="0" fontId="6" fillId="0" borderId="10" xfId="0" applyFont="1" applyBorder="1" applyAlignment="1">
      <alignment horizontal="justify" vertical="center" wrapText="1"/>
    </xf>
    <xf numFmtId="10" fontId="6" fillId="0" borderId="10" xfId="0" applyNumberFormat="1" applyFont="1" applyBorder="1" applyAlignment="1">
      <alignment horizontal="center" vertical="center" wrapText="1"/>
    </xf>
    <xf numFmtId="10" fontId="6" fillId="0" borderId="11" xfId="0" applyNumberFormat="1" applyFont="1" applyBorder="1" applyAlignment="1">
      <alignment horizontal="center" vertical="center" wrapText="1"/>
    </xf>
    <xf numFmtId="0" fontId="6" fillId="0" borderId="11" xfId="0" applyFont="1" applyBorder="1" applyAlignment="1">
      <alignment horizontal="justify" vertical="top" wrapText="1"/>
    </xf>
    <xf numFmtId="10" fontId="48" fillId="0" borderId="10" xfId="0" applyNumberFormat="1" applyFont="1" applyBorder="1" applyAlignment="1">
      <alignment horizontal="center" vertical="center" wrapText="1"/>
    </xf>
    <xf numFmtId="9" fontId="48" fillId="0" borderId="10" xfId="0" applyNumberFormat="1" applyFont="1" applyBorder="1" applyAlignment="1">
      <alignment horizontal="center" vertical="center" wrapText="1"/>
    </xf>
    <xf numFmtId="0" fontId="48" fillId="0" borderId="10" xfId="0" applyFont="1" applyBorder="1" applyAlignment="1">
      <alignment horizontal="justify" vertical="center" wrapText="1"/>
    </xf>
    <xf numFmtId="10" fontId="57" fillId="0" borderId="13" xfId="0" applyNumberFormat="1" applyFont="1" applyBorder="1" applyAlignment="1">
      <alignment horizontal="center" vertical="center" wrapText="1"/>
    </xf>
    <xf numFmtId="164" fontId="57" fillId="0" borderId="13"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57" fillId="0" borderId="11" xfId="0" applyFont="1" applyBorder="1" applyAlignment="1">
      <alignment horizontal="justify" vertical="top" wrapText="1"/>
    </xf>
    <xf numFmtId="0" fontId="57" fillId="0" borderId="13" xfId="0" applyFont="1" applyBorder="1" applyAlignment="1">
      <alignment horizontal="center" vertical="center" wrapText="1"/>
    </xf>
    <xf numFmtId="9" fontId="52" fillId="0" borderId="10" xfId="0" applyNumberFormat="1" applyFont="1" applyBorder="1" applyAlignment="1">
      <alignment horizontal="center" vertical="center" wrapText="1"/>
    </xf>
    <xf numFmtId="0" fontId="48" fillId="0" borderId="10" xfId="0" applyFont="1" applyBorder="1" applyAlignment="1" applyProtection="1">
      <alignment horizontal="center" vertical="center" wrapText="1"/>
      <protection hidden="1"/>
    </xf>
    <xf numFmtId="0" fontId="49" fillId="14" borderId="10" xfId="0" applyFont="1" applyFill="1" applyBorder="1" applyAlignment="1" applyProtection="1">
      <alignment horizontal="center" vertical="center" wrapText="1"/>
      <protection hidden="1"/>
    </xf>
    <xf numFmtId="0" fontId="49" fillId="34" borderId="10" xfId="0" applyFont="1" applyFill="1" applyBorder="1" applyAlignment="1" applyProtection="1">
      <alignment horizontal="center" vertical="center" wrapText="1"/>
      <protection hidden="1"/>
    </xf>
    <xf numFmtId="0" fontId="48" fillId="0" borderId="0" xfId="0" applyFont="1" applyBorder="1" applyAlignment="1" applyProtection="1">
      <alignment horizontal="left" vertical="center" wrapText="1"/>
      <protection hidden="1"/>
    </xf>
    <xf numFmtId="0" fontId="49" fillId="33" borderId="0" xfId="0" applyFont="1" applyFill="1" applyBorder="1" applyAlignment="1" applyProtection="1">
      <alignment horizontal="center" vertical="center" wrapText="1"/>
      <protection hidden="1"/>
    </xf>
    <xf numFmtId="0" fontId="48" fillId="33" borderId="0" xfId="0" applyFont="1" applyFill="1" applyBorder="1" applyAlignment="1" applyProtection="1">
      <alignment horizontal="left" vertical="center" wrapText="1"/>
      <protection hidden="1"/>
    </xf>
    <xf numFmtId="0" fontId="48" fillId="0" borderId="0" xfId="0" applyFont="1" applyAlignment="1" applyProtection="1">
      <alignment horizontal="center" vertical="top" wrapText="1"/>
      <protection hidden="1"/>
    </xf>
    <xf numFmtId="9" fontId="48" fillId="0" borderId="10" xfId="0" applyNumberFormat="1" applyFont="1" applyBorder="1" applyAlignment="1" applyProtection="1">
      <alignment horizontal="center" vertical="top" wrapText="1"/>
      <protection hidden="1"/>
    </xf>
    <xf numFmtId="10" fontId="57" fillId="0" borderId="10" xfId="0" applyNumberFormat="1" applyFont="1" applyBorder="1" applyAlignment="1">
      <alignment horizontal="center" vertical="top" wrapText="1"/>
    </xf>
    <xf numFmtId="10" fontId="57" fillId="0" borderId="11" xfId="0" applyNumberFormat="1" applyFont="1" applyBorder="1" applyAlignment="1">
      <alignment horizontal="center" vertical="top" wrapText="1"/>
    </xf>
    <xf numFmtId="10" fontId="48" fillId="0" borderId="10" xfId="54" applyNumberFormat="1" applyFont="1" applyBorder="1" applyAlignment="1" applyProtection="1">
      <alignment horizontal="center" vertical="top" wrapText="1"/>
      <protection/>
    </xf>
    <xf numFmtId="0" fontId="48" fillId="0" borderId="10" xfId="0" applyFont="1" applyBorder="1" applyAlignment="1" applyProtection="1">
      <alignment horizontal="center" vertical="top" wrapText="1"/>
      <protection hidden="1"/>
    </xf>
    <xf numFmtId="10" fontId="57" fillId="0" borderId="11" xfId="0" applyNumberFormat="1" applyFont="1" applyBorder="1" applyAlignment="1">
      <alignment horizontal="center" vertical="top" wrapText="1"/>
    </xf>
    <xf numFmtId="9" fontId="57" fillId="0" borderId="13" xfId="0" applyNumberFormat="1" applyFont="1" applyBorder="1" applyAlignment="1">
      <alignment horizontal="center" vertical="top" wrapText="1"/>
    </xf>
    <xf numFmtId="9" fontId="6" fillId="0" borderId="10" xfId="0" applyNumberFormat="1" applyFont="1" applyBorder="1" applyAlignment="1" applyProtection="1">
      <alignment horizontal="center" vertical="top" wrapText="1"/>
      <protection hidden="1"/>
    </xf>
    <xf numFmtId="10" fontId="6" fillId="0" borderId="10" xfId="54" applyNumberFormat="1" applyFont="1" applyBorder="1" applyAlignment="1" applyProtection="1">
      <alignment horizontal="center" vertical="top" wrapText="1"/>
      <protection/>
    </xf>
    <xf numFmtId="0" fontId="6" fillId="0" borderId="10" xfId="0" applyFont="1" applyBorder="1" applyAlignment="1" applyProtection="1">
      <alignment horizontal="center" vertical="top" wrapText="1"/>
      <protection hidden="1"/>
    </xf>
    <xf numFmtId="10" fontId="6" fillId="0" borderId="10" xfId="0" applyNumberFormat="1" applyFont="1" applyBorder="1" applyAlignment="1">
      <alignment horizontal="center" vertical="top" wrapText="1"/>
    </xf>
    <xf numFmtId="10" fontId="57" fillId="0" borderId="13" xfId="0" applyNumberFormat="1" applyFont="1" applyBorder="1" applyAlignment="1">
      <alignment horizontal="center" vertical="top" wrapText="1"/>
    </xf>
    <xf numFmtId="0" fontId="57" fillId="0" borderId="13" xfId="0" applyFont="1" applyBorder="1" applyAlignment="1">
      <alignment horizontal="center" vertical="top" wrapText="1"/>
    </xf>
    <xf numFmtId="41" fontId="48" fillId="0" borderId="10" xfId="49" applyFont="1" applyBorder="1" applyAlignment="1" applyProtection="1">
      <alignment horizontal="center" vertical="top" wrapText="1"/>
      <protection hidden="1"/>
    </xf>
    <xf numFmtId="41" fontId="57" fillId="0" borderId="13" xfId="0" applyNumberFormat="1" applyFont="1" applyBorder="1" applyAlignment="1">
      <alignment horizontal="center" vertical="top" wrapText="1"/>
    </xf>
    <xf numFmtId="9" fontId="49" fillId="5" borderId="10" xfId="54" applyFont="1" applyFill="1" applyBorder="1" applyAlignment="1" applyProtection="1">
      <alignment horizontal="center" vertical="top" wrapText="1"/>
      <protection hidden="1"/>
    </xf>
    <xf numFmtId="9" fontId="49" fillId="5" borderId="10" xfId="54" applyFont="1" applyFill="1" applyBorder="1" applyAlignment="1" applyProtection="1">
      <alignment vertical="top" wrapText="1"/>
      <protection hidden="1"/>
    </xf>
    <xf numFmtId="0" fontId="48" fillId="5" borderId="10" xfId="0" applyFont="1" applyFill="1" applyBorder="1" applyAlignment="1" applyProtection="1">
      <alignment horizontal="center" vertical="top" wrapText="1"/>
      <protection hidden="1"/>
    </xf>
    <xf numFmtId="10" fontId="49" fillId="5" borderId="10" xfId="54" applyNumberFormat="1" applyFont="1" applyFill="1" applyBorder="1" applyAlignment="1" applyProtection="1">
      <alignment horizontal="center" vertical="top" wrapText="1"/>
      <protection hidden="1"/>
    </xf>
    <xf numFmtId="9" fontId="52" fillId="0" borderId="10" xfId="0" applyNumberFormat="1" applyFont="1" applyBorder="1" applyAlignment="1" applyProtection="1">
      <alignment horizontal="center" vertical="top" wrapText="1"/>
      <protection hidden="1"/>
    </xf>
    <xf numFmtId="9" fontId="52" fillId="0" borderId="10" xfId="0" applyNumberFormat="1" applyFont="1" applyBorder="1" applyAlignment="1">
      <alignment horizontal="center" vertical="top" wrapText="1"/>
    </xf>
    <xf numFmtId="9" fontId="52" fillId="0" borderId="11" xfId="0" applyNumberFormat="1" applyFont="1" applyBorder="1" applyAlignment="1">
      <alignment horizontal="center" vertical="top" wrapText="1"/>
    </xf>
    <xf numFmtId="0" fontId="52" fillId="0" borderId="10" xfId="0" applyFont="1" applyBorder="1" applyAlignment="1" applyProtection="1">
      <alignment horizontal="center" vertical="top" wrapText="1"/>
      <protection hidden="1"/>
    </xf>
    <xf numFmtId="10" fontId="52" fillId="0" borderId="10" xfId="54" applyNumberFormat="1" applyFont="1" applyBorder="1" applyAlignment="1" applyProtection="1">
      <alignment horizontal="center" vertical="top" wrapText="1"/>
      <protection hidden="1"/>
    </xf>
    <xf numFmtId="9" fontId="52" fillId="0" borderId="13" xfId="0" applyNumberFormat="1" applyFont="1" applyBorder="1" applyAlignment="1">
      <alignment horizontal="center" vertical="top" wrapText="1"/>
    </xf>
    <xf numFmtId="10" fontId="52" fillId="0" borderId="10" xfId="0" applyNumberFormat="1" applyFont="1" applyBorder="1" applyAlignment="1" applyProtection="1">
      <alignment horizontal="center" vertical="top" wrapText="1"/>
      <protection hidden="1"/>
    </xf>
    <xf numFmtId="164" fontId="52" fillId="0" borderId="10" xfId="0" applyNumberFormat="1" applyFont="1" applyBorder="1" applyAlignment="1" applyProtection="1">
      <alignment horizontal="center" vertical="top" wrapText="1"/>
      <protection hidden="1"/>
    </xf>
    <xf numFmtId="10" fontId="56" fillId="5" borderId="10" xfId="0" applyNumberFormat="1" applyFont="1" applyFill="1" applyBorder="1" applyAlignment="1" applyProtection="1">
      <alignment horizontal="center" vertical="top" wrapText="1"/>
      <protection hidden="1"/>
    </xf>
    <xf numFmtId="10" fontId="48" fillId="5" borderId="10" xfId="0" applyNumberFormat="1" applyFont="1" applyFill="1" applyBorder="1" applyAlignment="1" applyProtection="1">
      <alignment horizontal="center" vertical="top" wrapText="1"/>
      <protection hidden="1"/>
    </xf>
    <xf numFmtId="10" fontId="48" fillId="11" borderId="10" xfId="54" applyNumberFormat="1" applyFont="1" applyFill="1" applyBorder="1" applyAlignment="1" applyProtection="1">
      <alignment horizontal="center" vertical="top" wrapText="1"/>
      <protection hidden="1"/>
    </xf>
    <xf numFmtId="10" fontId="49" fillId="11" borderId="10" xfId="0" applyNumberFormat="1" applyFont="1" applyFill="1" applyBorder="1" applyAlignment="1" applyProtection="1">
      <alignment horizontal="center" vertical="top" wrapText="1"/>
      <protection hidden="1"/>
    </xf>
    <xf numFmtId="10" fontId="48" fillId="11" borderId="10" xfId="0" applyNumberFormat="1" applyFont="1" applyFill="1" applyBorder="1" applyAlignment="1" applyProtection="1">
      <alignment horizontal="center" vertical="top" wrapText="1"/>
      <protection hidden="1"/>
    </xf>
    <xf numFmtId="9" fontId="48" fillId="0" borderId="10" xfId="0" applyNumberFormat="1" applyFont="1" applyBorder="1" applyAlignment="1" applyProtection="1">
      <alignment horizontal="left" vertical="top" wrapText="1"/>
      <protection hidden="1"/>
    </xf>
    <xf numFmtId="10" fontId="57" fillId="0" borderId="13" xfId="0" applyNumberFormat="1" applyFont="1" applyBorder="1" applyAlignment="1">
      <alignment horizontal="center" vertical="top" wrapText="1"/>
    </xf>
    <xf numFmtId="10" fontId="6" fillId="0" borderId="13" xfId="0" applyNumberFormat="1" applyFont="1" applyBorder="1" applyAlignment="1">
      <alignment horizontal="center" vertical="top" wrapText="1"/>
    </xf>
    <xf numFmtId="10" fontId="48" fillId="0" borderId="10" xfId="0" applyNumberFormat="1" applyFont="1" applyBorder="1" applyAlignment="1" applyProtection="1">
      <alignment horizontal="center" vertical="top" wrapText="1"/>
      <protection hidden="1"/>
    </xf>
    <xf numFmtId="9" fontId="6" fillId="0" borderId="10" xfId="54" applyFont="1" applyFill="1" applyBorder="1" applyAlignment="1" applyProtection="1">
      <alignment horizontal="center" vertical="top" wrapText="1"/>
      <protection/>
    </xf>
    <xf numFmtId="0" fontId="48" fillId="0" borderId="10" xfId="0" applyFont="1" applyFill="1" applyBorder="1" applyAlignment="1" applyProtection="1">
      <alignment horizontal="center" vertical="top" wrapText="1"/>
      <protection hidden="1"/>
    </xf>
    <xf numFmtId="0" fontId="6" fillId="0" borderId="10" xfId="0" applyFont="1" applyFill="1" applyBorder="1" applyAlignment="1" applyProtection="1">
      <alignment horizontal="center" vertical="top" wrapText="1"/>
      <protection hidden="1"/>
    </xf>
    <xf numFmtId="1" fontId="48" fillId="0" borderId="10" xfId="0" applyNumberFormat="1" applyFont="1" applyFill="1" applyBorder="1" applyAlignment="1">
      <alignment horizontal="center" vertical="top" wrapText="1"/>
    </xf>
    <xf numFmtId="9" fontId="52" fillId="0" borderId="10" xfId="0" applyNumberFormat="1" applyFont="1" applyBorder="1" applyAlignment="1" applyProtection="1">
      <alignment horizontal="left" vertical="top" wrapText="1"/>
      <protection hidden="1"/>
    </xf>
    <xf numFmtId="9" fontId="39" fillId="0" borderId="10" xfId="46" applyNumberFormat="1" applyBorder="1" applyAlignment="1" applyProtection="1">
      <alignment horizontal="justify" vertical="top" wrapText="1"/>
      <protection hidden="1"/>
    </xf>
    <xf numFmtId="0" fontId="48" fillId="0" borderId="10" xfId="0" applyFont="1" applyFill="1" applyBorder="1" applyAlignment="1" applyProtection="1">
      <alignment horizontal="center" vertical="center" wrapText="1"/>
      <protection hidden="1"/>
    </xf>
    <xf numFmtId="9" fontId="48" fillId="0" borderId="10" xfId="54" applyFont="1" applyBorder="1" applyAlignment="1" applyProtection="1">
      <alignment horizontal="center" vertical="top" wrapText="1"/>
      <protection/>
    </xf>
    <xf numFmtId="10" fontId="57" fillId="0" borderId="10" xfId="0" applyNumberFormat="1" applyFont="1" applyBorder="1" applyAlignment="1">
      <alignment horizontal="center" vertical="top" wrapText="1"/>
    </xf>
    <xf numFmtId="0" fontId="49" fillId="13" borderId="14" xfId="0" applyFont="1" applyFill="1" applyBorder="1" applyAlignment="1" applyProtection="1">
      <alignment horizontal="center" vertical="center" wrapText="1"/>
      <protection hidden="1"/>
    </xf>
    <xf numFmtId="0" fontId="49" fillId="13" borderId="15" xfId="0" applyFont="1" applyFill="1" applyBorder="1" applyAlignment="1" applyProtection="1">
      <alignment horizontal="center" vertical="center" wrapText="1"/>
      <protection hidden="1"/>
    </xf>
    <xf numFmtId="0" fontId="49" fillId="13" borderId="11" xfId="0" applyFont="1" applyFill="1" applyBorder="1" applyAlignment="1" applyProtection="1">
      <alignment horizontal="center" vertical="center" wrapText="1"/>
      <protection hidden="1"/>
    </xf>
    <xf numFmtId="0" fontId="49" fillId="2" borderId="10" xfId="0" applyFont="1" applyFill="1" applyBorder="1" applyAlignment="1" applyProtection="1">
      <alignment horizontal="center" vertical="center" wrapText="1"/>
      <protection hidden="1"/>
    </xf>
    <xf numFmtId="0" fontId="49" fillId="5" borderId="10" xfId="0" applyFont="1" applyFill="1" applyBorder="1" applyAlignment="1" applyProtection="1">
      <alignment horizontal="center" vertical="center" wrapText="1"/>
      <protection hidden="1"/>
    </xf>
    <xf numFmtId="0" fontId="48" fillId="0" borderId="10" xfId="0" applyFont="1" applyBorder="1" applyAlignment="1" applyProtection="1">
      <alignment horizontal="center" vertical="center" wrapText="1"/>
      <protection hidden="1"/>
    </xf>
    <xf numFmtId="0" fontId="48" fillId="0" borderId="10" xfId="0" applyFont="1" applyBorder="1" applyAlignment="1" applyProtection="1">
      <alignment horizontal="justify" vertical="center" wrapText="1"/>
      <protection hidden="1"/>
    </xf>
    <xf numFmtId="0" fontId="49" fillId="11" borderId="10" xfId="0" applyFont="1" applyFill="1" applyBorder="1" applyAlignment="1" applyProtection="1">
      <alignment horizontal="center" vertical="center" wrapText="1"/>
      <protection hidden="1"/>
    </xf>
    <xf numFmtId="0" fontId="49" fillId="8" borderId="10" xfId="0" applyFont="1" applyFill="1" applyBorder="1" applyAlignment="1" applyProtection="1">
      <alignment horizontal="center" vertical="center" wrapText="1"/>
      <protection hidden="1"/>
    </xf>
    <xf numFmtId="0" fontId="49" fillId="14" borderId="10" xfId="0" applyFont="1" applyFill="1" applyBorder="1" applyAlignment="1" applyProtection="1">
      <alignment horizontal="center" vertical="center" wrapText="1"/>
      <protection hidden="1"/>
    </xf>
    <xf numFmtId="0" fontId="49" fillId="34" borderId="10" xfId="0" applyFont="1" applyFill="1" applyBorder="1" applyAlignment="1" applyProtection="1">
      <alignment horizontal="center" vertical="center" wrapText="1"/>
      <protection hidden="1"/>
    </xf>
    <xf numFmtId="0" fontId="49" fillId="0" borderId="10" xfId="0" applyFont="1" applyBorder="1" applyAlignment="1" applyProtection="1">
      <alignment horizontal="center" vertical="center" wrapText="1"/>
      <protection hidden="1"/>
    </xf>
    <xf numFmtId="0" fontId="48" fillId="0" borderId="10" xfId="0" applyFont="1" applyBorder="1" applyAlignment="1" applyProtection="1">
      <alignment horizontal="left" vertical="center" wrapText="1"/>
      <protection hidden="1"/>
    </xf>
    <xf numFmtId="0" fontId="49" fillId="0" borderId="16" xfId="0" applyFont="1" applyBorder="1" applyAlignment="1" applyProtection="1">
      <alignment horizontal="center" vertical="center" wrapText="1"/>
      <protection hidden="1"/>
    </xf>
    <xf numFmtId="0" fontId="49" fillId="0" borderId="0" xfId="0" applyFont="1" applyAlignment="1" applyProtection="1">
      <alignment horizontal="center" vertical="center" wrapText="1"/>
      <protection hidden="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295275</xdr:colOff>
      <xdr:row>0</xdr:row>
      <xdr:rowOff>742950</xdr:rowOff>
    </xdr:to>
    <xdr:pic>
      <xdr:nvPicPr>
        <xdr:cNvPr id="1" name="Imagen 1"/>
        <xdr:cNvPicPr preferRelativeResize="1">
          <a:picLocks noChangeAspect="1"/>
        </xdr:cNvPicPr>
      </xdr:nvPicPr>
      <xdr:blipFill>
        <a:blip r:embed="rId1"/>
        <a:stretch>
          <a:fillRect/>
        </a:stretch>
      </xdr:blipFill>
      <xdr:spPr>
        <a:xfrm>
          <a:off x="0" y="19050"/>
          <a:ext cx="22764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me.gov.co/tabla_archivos/107-registros-publicacion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9"/>
  <sheetViews>
    <sheetView showGridLines="0" tabSelected="1" zoomScalePageLayoutView="0" workbookViewId="0" topLeftCell="A9">
      <selection activeCell="A11" sqref="A11:B12"/>
    </sheetView>
  </sheetViews>
  <sheetFormatPr defaultColWidth="10.8515625" defaultRowHeight="15" zeroHeight="1"/>
  <cols>
    <col min="1" max="1" width="4.140625" style="1" customWidth="1"/>
    <col min="2" max="2" width="25.57421875" style="1" customWidth="1"/>
    <col min="3" max="3" width="13.8515625" style="1" customWidth="1"/>
    <col min="4" max="4" width="44.28125" style="1" bestFit="1" customWidth="1"/>
    <col min="5" max="5" width="17.00390625" style="1" customWidth="1"/>
    <col min="6" max="6" width="20.00390625" style="1" customWidth="1"/>
    <col min="7" max="7" width="19.28125" style="1" customWidth="1"/>
    <col min="8" max="8" width="23.57421875" style="1" customWidth="1"/>
    <col min="9" max="9" width="8.140625" style="1" customWidth="1"/>
    <col min="10" max="10" width="18.421875" style="1" customWidth="1"/>
    <col min="11" max="11" width="15.8515625" style="1" customWidth="1"/>
    <col min="12" max="15" width="7.28125" style="1" customWidth="1"/>
    <col min="16" max="16" width="17.421875" style="1" customWidth="1"/>
    <col min="17" max="21" width="17.8515625" style="1" customWidth="1"/>
    <col min="22" max="24" width="16.57421875" style="31" customWidth="1"/>
    <col min="25" max="25" width="39.28125" style="33" customWidth="1"/>
    <col min="26" max="26" width="16.57421875" style="33" customWidth="1"/>
    <col min="27" max="27" width="21.8515625" style="31" customWidth="1"/>
    <col min="28" max="29" width="16.57421875" style="31" customWidth="1"/>
    <col min="30" max="30" width="73.7109375" style="54" customWidth="1"/>
    <col min="31" max="31" width="36.57421875" style="54" customWidth="1"/>
    <col min="32" max="32" width="19.421875" style="96" customWidth="1"/>
    <col min="33" max="34" width="16.57421875" style="96" customWidth="1"/>
    <col min="35" max="35" width="58.421875" style="96" customWidth="1"/>
    <col min="36" max="36" width="22.140625" style="96" customWidth="1"/>
    <col min="37" max="37" width="20.421875" style="96" customWidth="1"/>
    <col min="38" max="39" width="16.57421875" style="96" customWidth="1"/>
    <col min="40" max="40" width="36.00390625" style="96" customWidth="1"/>
    <col min="41" max="43" width="16.57421875" style="96" customWidth="1"/>
    <col min="44" max="44" width="21.57421875" style="96" customWidth="1"/>
    <col min="45" max="45" width="41.28125" style="54" customWidth="1"/>
    <col min="46" max="16384" width="10.8515625" style="1" customWidth="1"/>
  </cols>
  <sheetData>
    <row r="1" spans="1:16" ht="70.5" customHeight="1">
      <c r="A1" s="153" t="s">
        <v>0</v>
      </c>
      <c r="B1" s="147"/>
      <c r="C1" s="147"/>
      <c r="D1" s="147"/>
      <c r="E1" s="147"/>
      <c r="F1" s="147"/>
      <c r="G1" s="147"/>
      <c r="H1" s="147"/>
      <c r="I1" s="147"/>
      <c r="J1" s="147"/>
      <c r="K1" s="147"/>
      <c r="L1" s="154" t="s">
        <v>1</v>
      </c>
      <c r="M1" s="154"/>
      <c r="N1" s="154"/>
      <c r="O1" s="154"/>
      <c r="P1" s="154"/>
    </row>
    <row r="2" spans="1:16" ht="23.25" customHeight="1">
      <c r="A2" s="155" t="s">
        <v>2</v>
      </c>
      <c r="B2" s="156"/>
      <c r="C2" s="156"/>
      <c r="D2" s="156"/>
      <c r="E2" s="156"/>
      <c r="F2" s="156"/>
      <c r="G2" s="156"/>
      <c r="H2" s="156"/>
      <c r="I2" s="156"/>
      <c r="J2" s="156"/>
      <c r="K2" s="156"/>
      <c r="L2" s="156"/>
      <c r="M2" s="156"/>
      <c r="N2" s="156"/>
      <c r="O2" s="156"/>
      <c r="P2" s="156"/>
    </row>
    <row r="3" ht="15"/>
    <row r="4" spans="1:11" ht="28.5" customHeight="1">
      <c r="A4" s="146" t="s">
        <v>3</v>
      </c>
      <c r="B4" s="146"/>
      <c r="C4" s="154" t="s">
        <v>4</v>
      </c>
      <c r="D4" s="154"/>
      <c r="F4" s="146" t="s">
        <v>5</v>
      </c>
      <c r="G4" s="146"/>
      <c r="H4" s="146"/>
      <c r="I4" s="146"/>
      <c r="J4" s="146"/>
      <c r="K4" s="146"/>
    </row>
    <row r="5" spans="1:11" ht="15">
      <c r="A5" s="146"/>
      <c r="B5" s="146"/>
      <c r="C5" s="154"/>
      <c r="D5" s="154"/>
      <c r="F5" s="32" t="s">
        <v>6</v>
      </c>
      <c r="G5" s="32" t="s">
        <v>7</v>
      </c>
      <c r="H5" s="146" t="s">
        <v>8</v>
      </c>
      <c r="I5" s="146"/>
      <c r="J5" s="146"/>
      <c r="K5" s="146"/>
    </row>
    <row r="6" spans="1:11" ht="30">
      <c r="A6" s="146"/>
      <c r="B6" s="146"/>
      <c r="C6" s="154"/>
      <c r="D6" s="154"/>
      <c r="F6" s="44">
        <v>1</v>
      </c>
      <c r="G6" s="44" t="s">
        <v>9</v>
      </c>
      <c r="H6" s="147" t="s">
        <v>10</v>
      </c>
      <c r="I6" s="147"/>
      <c r="J6" s="147"/>
      <c r="K6" s="147"/>
    </row>
    <row r="7" spans="1:11" ht="192.75" customHeight="1">
      <c r="A7" s="146"/>
      <c r="B7" s="146"/>
      <c r="C7" s="154"/>
      <c r="D7" s="154"/>
      <c r="F7" s="44">
        <v>2</v>
      </c>
      <c r="G7" s="44" t="s">
        <v>11</v>
      </c>
      <c r="H7" s="148" t="s">
        <v>12</v>
      </c>
      <c r="I7" s="148"/>
      <c r="J7" s="148"/>
      <c r="K7" s="148"/>
    </row>
    <row r="8" spans="1:11" ht="46.5" customHeight="1">
      <c r="A8" s="146"/>
      <c r="B8" s="146"/>
      <c r="C8" s="154"/>
      <c r="D8" s="154"/>
      <c r="F8" s="44">
        <v>3</v>
      </c>
      <c r="G8" s="44" t="s">
        <v>13</v>
      </c>
      <c r="H8" s="148" t="s">
        <v>14</v>
      </c>
      <c r="I8" s="148"/>
      <c r="J8" s="148"/>
      <c r="K8" s="148"/>
    </row>
    <row r="9" spans="1:11" ht="46.5" customHeight="1">
      <c r="A9" s="94"/>
      <c r="B9" s="94"/>
      <c r="C9" s="95"/>
      <c r="D9" s="93"/>
      <c r="F9" s="90">
        <v>4</v>
      </c>
      <c r="G9" s="90" t="s">
        <v>298</v>
      </c>
      <c r="H9" s="148" t="s">
        <v>297</v>
      </c>
      <c r="I9" s="148"/>
      <c r="J9" s="148"/>
      <c r="K9" s="148"/>
    </row>
    <row r="10" spans="30:31" ht="15">
      <c r="AD10" s="70"/>
      <c r="AE10" s="70"/>
    </row>
    <row r="11" spans="1:45" ht="14.25" customHeight="1">
      <c r="A11" s="146" t="s">
        <v>15</v>
      </c>
      <c r="B11" s="146"/>
      <c r="C11" s="146" t="s">
        <v>16</v>
      </c>
      <c r="D11" s="146" t="s">
        <v>17</v>
      </c>
      <c r="E11" s="146"/>
      <c r="F11" s="146"/>
      <c r="G11" s="146"/>
      <c r="H11" s="146"/>
      <c r="I11" s="146"/>
      <c r="J11" s="146"/>
      <c r="K11" s="146"/>
      <c r="L11" s="146"/>
      <c r="M11" s="146"/>
      <c r="N11" s="146"/>
      <c r="O11" s="146"/>
      <c r="P11" s="146"/>
      <c r="Q11" s="149" t="s">
        <v>18</v>
      </c>
      <c r="R11" s="149"/>
      <c r="S11" s="149"/>
      <c r="T11" s="149"/>
      <c r="U11" s="149"/>
      <c r="V11" s="145" t="s">
        <v>19</v>
      </c>
      <c r="W11" s="145"/>
      <c r="X11" s="145"/>
      <c r="Y11" s="145"/>
      <c r="Z11" s="145"/>
      <c r="AA11" s="150" t="s">
        <v>19</v>
      </c>
      <c r="AB11" s="150"/>
      <c r="AC11" s="150"/>
      <c r="AD11" s="150"/>
      <c r="AE11" s="150"/>
      <c r="AF11" s="151" t="s">
        <v>19</v>
      </c>
      <c r="AG11" s="151"/>
      <c r="AH11" s="151"/>
      <c r="AI11" s="151"/>
      <c r="AJ11" s="151"/>
      <c r="AK11" s="152" t="s">
        <v>19</v>
      </c>
      <c r="AL11" s="152"/>
      <c r="AM11" s="152"/>
      <c r="AN11" s="152"/>
      <c r="AO11" s="152"/>
      <c r="AP11" s="142" t="s">
        <v>20</v>
      </c>
      <c r="AQ11" s="143"/>
      <c r="AR11" s="143"/>
      <c r="AS11" s="144"/>
    </row>
    <row r="12" spans="1:45" ht="14.25" customHeight="1">
      <c r="A12" s="146"/>
      <c r="B12" s="146"/>
      <c r="C12" s="146"/>
      <c r="D12" s="146"/>
      <c r="E12" s="146"/>
      <c r="F12" s="146"/>
      <c r="G12" s="146"/>
      <c r="H12" s="146"/>
      <c r="I12" s="146"/>
      <c r="J12" s="146"/>
      <c r="K12" s="146"/>
      <c r="L12" s="146"/>
      <c r="M12" s="146"/>
      <c r="N12" s="146"/>
      <c r="O12" s="146"/>
      <c r="P12" s="146"/>
      <c r="Q12" s="149"/>
      <c r="R12" s="149"/>
      <c r="S12" s="149"/>
      <c r="T12" s="149"/>
      <c r="U12" s="149"/>
      <c r="V12" s="145" t="s">
        <v>21</v>
      </c>
      <c r="W12" s="145"/>
      <c r="X12" s="145"/>
      <c r="Y12" s="145"/>
      <c r="Z12" s="145"/>
      <c r="AA12" s="150" t="s">
        <v>22</v>
      </c>
      <c r="AB12" s="150"/>
      <c r="AC12" s="150"/>
      <c r="AD12" s="150"/>
      <c r="AE12" s="150"/>
      <c r="AF12" s="151" t="s">
        <v>23</v>
      </c>
      <c r="AG12" s="151"/>
      <c r="AH12" s="151"/>
      <c r="AI12" s="151"/>
      <c r="AJ12" s="151"/>
      <c r="AK12" s="152" t="s">
        <v>24</v>
      </c>
      <c r="AL12" s="152"/>
      <c r="AM12" s="152"/>
      <c r="AN12" s="152"/>
      <c r="AO12" s="152"/>
      <c r="AP12" s="142" t="s">
        <v>25</v>
      </c>
      <c r="AQ12" s="143"/>
      <c r="AR12" s="143"/>
      <c r="AS12" s="144"/>
    </row>
    <row r="13" spans="1:45" ht="60">
      <c r="A13" s="43" t="s">
        <v>26</v>
      </c>
      <c r="B13" s="43" t="s">
        <v>27</v>
      </c>
      <c r="C13" s="146"/>
      <c r="D13" s="43" t="s">
        <v>28</v>
      </c>
      <c r="E13" s="43" t="s">
        <v>29</v>
      </c>
      <c r="F13" s="43" t="s">
        <v>30</v>
      </c>
      <c r="G13" s="43" t="s">
        <v>31</v>
      </c>
      <c r="H13" s="43" t="s">
        <v>32</v>
      </c>
      <c r="I13" s="43" t="s">
        <v>33</v>
      </c>
      <c r="J13" s="43" t="s">
        <v>34</v>
      </c>
      <c r="K13" s="43" t="s">
        <v>35</v>
      </c>
      <c r="L13" s="43" t="s">
        <v>36</v>
      </c>
      <c r="M13" s="43" t="s">
        <v>37</v>
      </c>
      <c r="N13" s="43" t="s">
        <v>38</v>
      </c>
      <c r="O13" s="43" t="s">
        <v>39</v>
      </c>
      <c r="P13" s="43" t="s">
        <v>40</v>
      </c>
      <c r="Q13" s="47" t="s">
        <v>41</v>
      </c>
      <c r="R13" s="47" t="s">
        <v>42</v>
      </c>
      <c r="S13" s="47" t="s">
        <v>43</v>
      </c>
      <c r="T13" s="47" t="s">
        <v>44</v>
      </c>
      <c r="U13" s="47" t="s">
        <v>45</v>
      </c>
      <c r="V13" s="46" t="s">
        <v>46</v>
      </c>
      <c r="W13" s="46" t="s">
        <v>47</v>
      </c>
      <c r="X13" s="46" t="s">
        <v>48</v>
      </c>
      <c r="Y13" s="46" t="s">
        <v>49</v>
      </c>
      <c r="Z13" s="46" t="s">
        <v>50</v>
      </c>
      <c r="AA13" s="48" t="s">
        <v>46</v>
      </c>
      <c r="AB13" s="48" t="s">
        <v>47</v>
      </c>
      <c r="AC13" s="48" t="s">
        <v>48</v>
      </c>
      <c r="AD13" s="48" t="s">
        <v>49</v>
      </c>
      <c r="AE13" s="48" t="s">
        <v>50</v>
      </c>
      <c r="AF13" s="91" t="s">
        <v>46</v>
      </c>
      <c r="AG13" s="91" t="s">
        <v>47</v>
      </c>
      <c r="AH13" s="91" t="s">
        <v>48</v>
      </c>
      <c r="AI13" s="91" t="s">
        <v>49</v>
      </c>
      <c r="AJ13" s="91" t="s">
        <v>50</v>
      </c>
      <c r="AK13" s="92" t="s">
        <v>46</v>
      </c>
      <c r="AL13" s="92" t="s">
        <v>47</v>
      </c>
      <c r="AM13" s="92" t="s">
        <v>48</v>
      </c>
      <c r="AN13" s="92" t="s">
        <v>49</v>
      </c>
      <c r="AO13" s="92" t="s">
        <v>50</v>
      </c>
      <c r="AP13" s="2" t="s">
        <v>46</v>
      </c>
      <c r="AQ13" s="2" t="s">
        <v>47</v>
      </c>
      <c r="AR13" s="2" t="s">
        <v>48</v>
      </c>
      <c r="AS13" s="2" t="s">
        <v>51</v>
      </c>
    </row>
    <row r="14" spans="1:45" s="8" customFormat="1" ht="270">
      <c r="A14" s="45">
        <v>4</v>
      </c>
      <c r="B14" s="45" t="s">
        <v>52</v>
      </c>
      <c r="C14" s="45" t="s">
        <v>53</v>
      </c>
      <c r="D14" s="45" t="s">
        <v>54</v>
      </c>
      <c r="E14" s="3">
        <f aca="true" t="shared" si="0" ref="E14:E31">+(5.55555555555556%*80%)/100%</f>
        <v>0.04444444444444448</v>
      </c>
      <c r="F14" s="45" t="s">
        <v>55</v>
      </c>
      <c r="G14" s="45" t="s">
        <v>56</v>
      </c>
      <c r="H14" s="45" t="s">
        <v>57</v>
      </c>
      <c r="I14" s="4">
        <v>0.066</v>
      </c>
      <c r="J14" s="45" t="s">
        <v>58</v>
      </c>
      <c r="K14" s="45" t="s">
        <v>59</v>
      </c>
      <c r="L14" s="5">
        <v>0</v>
      </c>
      <c r="M14" s="5">
        <v>0.02</v>
      </c>
      <c r="N14" s="5">
        <v>0.06</v>
      </c>
      <c r="O14" s="5">
        <v>0.1</v>
      </c>
      <c r="P14" s="5">
        <v>0.1</v>
      </c>
      <c r="Q14" s="45" t="s">
        <v>60</v>
      </c>
      <c r="R14" s="45" t="s">
        <v>61</v>
      </c>
      <c r="S14" s="45" t="s">
        <v>62</v>
      </c>
      <c r="T14" s="45" t="s">
        <v>63</v>
      </c>
      <c r="U14" s="45" t="s">
        <v>64</v>
      </c>
      <c r="V14" s="6" t="s">
        <v>65</v>
      </c>
      <c r="W14" s="6" t="s">
        <v>65</v>
      </c>
      <c r="X14" s="6" t="s">
        <v>65</v>
      </c>
      <c r="Y14" s="7" t="s">
        <v>66</v>
      </c>
      <c r="Z14" s="7" t="s">
        <v>65</v>
      </c>
      <c r="AA14" s="30">
        <v>0.005</v>
      </c>
      <c r="AB14" s="30">
        <v>0.005</v>
      </c>
      <c r="AC14" s="71">
        <f>IF(AB14/AA14&gt;100%,100%,AB14/AA14)</f>
        <v>1</v>
      </c>
      <c r="AD14" s="72" t="s">
        <v>67</v>
      </c>
      <c r="AE14" s="73" t="s">
        <v>68</v>
      </c>
      <c r="AF14" s="97">
        <f>N14</f>
        <v>0.06</v>
      </c>
      <c r="AG14" s="98">
        <v>0.201</v>
      </c>
      <c r="AH14" s="99">
        <f>IF(AG14/AF14&gt;100%,100%,AG14/AF14)</f>
        <v>1</v>
      </c>
      <c r="AI14" s="75" t="s">
        <v>274</v>
      </c>
      <c r="AJ14" s="75" t="s">
        <v>68</v>
      </c>
      <c r="AK14" s="97">
        <f>O14</f>
        <v>0.1</v>
      </c>
      <c r="AL14" s="133">
        <v>0.1303</v>
      </c>
      <c r="AM14" s="100">
        <f>IF(AL14/AK14&gt;100%,100%,AL14/AK14)</f>
        <v>1</v>
      </c>
      <c r="AN14" s="134" t="s">
        <v>299</v>
      </c>
      <c r="AO14" s="134" t="s">
        <v>68</v>
      </c>
      <c r="AP14" s="97">
        <f>P14</f>
        <v>0.1</v>
      </c>
      <c r="AQ14" s="141">
        <f>AL14</f>
        <v>0.1303</v>
      </c>
      <c r="AR14" s="102">
        <f>IF(AQ14/AP14&gt;100%,100%,AQ14/AP14)</f>
        <v>1</v>
      </c>
      <c r="AS14" s="72" t="s">
        <v>328</v>
      </c>
    </row>
    <row r="15" spans="1:45" s="8" customFormat="1" ht="120">
      <c r="A15" s="45">
        <v>4</v>
      </c>
      <c r="B15" s="45" t="s">
        <v>52</v>
      </c>
      <c r="C15" s="45" t="s">
        <v>53</v>
      </c>
      <c r="D15" s="45" t="s">
        <v>69</v>
      </c>
      <c r="E15" s="3">
        <f t="shared" si="0"/>
        <v>0.04444444444444448</v>
      </c>
      <c r="F15" s="45" t="s">
        <v>55</v>
      </c>
      <c r="G15" s="45" t="s">
        <v>70</v>
      </c>
      <c r="H15" s="45" t="s">
        <v>71</v>
      </c>
      <c r="I15" s="45" t="s">
        <v>72</v>
      </c>
      <c r="J15" s="45" t="s">
        <v>73</v>
      </c>
      <c r="K15" s="45" t="s">
        <v>59</v>
      </c>
      <c r="L15" s="5">
        <v>0</v>
      </c>
      <c r="M15" s="5">
        <v>0</v>
      </c>
      <c r="N15" s="5">
        <v>0</v>
      </c>
      <c r="O15" s="5">
        <v>0.15</v>
      </c>
      <c r="P15" s="5">
        <v>0.15</v>
      </c>
      <c r="Q15" s="45" t="s">
        <v>60</v>
      </c>
      <c r="R15" s="45" t="s">
        <v>74</v>
      </c>
      <c r="S15" s="45" t="s">
        <v>75</v>
      </c>
      <c r="T15" s="45" t="s">
        <v>63</v>
      </c>
      <c r="U15" s="45" t="s">
        <v>76</v>
      </c>
      <c r="V15" s="6" t="s">
        <v>65</v>
      </c>
      <c r="W15" s="6" t="s">
        <v>65</v>
      </c>
      <c r="X15" s="6" t="s">
        <v>65</v>
      </c>
      <c r="Y15" s="7" t="s">
        <v>66</v>
      </c>
      <c r="Z15" s="7" t="s">
        <v>65</v>
      </c>
      <c r="AA15" s="6" t="s">
        <v>65</v>
      </c>
      <c r="AB15" s="6" t="s">
        <v>65</v>
      </c>
      <c r="AC15" s="6" t="s">
        <v>65</v>
      </c>
      <c r="AD15" s="74" t="s">
        <v>77</v>
      </c>
      <c r="AE15" s="56" t="s">
        <v>65</v>
      </c>
      <c r="AF15" s="97" t="s">
        <v>65</v>
      </c>
      <c r="AG15" s="97" t="s">
        <v>65</v>
      </c>
      <c r="AH15" s="97" t="s">
        <v>65</v>
      </c>
      <c r="AI15" s="97" t="s">
        <v>275</v>
      </c>
      <c r="AJ15" s="97" t="s">
        <v>65</v>
      </c>
      <c r="AK15" s="97">
        <f aca="true" t="shared" si="1" ref="AK15:AK36">O15</f>
        <v>0.15</v>
      </c>
      <c r="AL15" s="133">
        <f>8461/2913</f>
        <v>2.904565739787161</v>
      </c>
      <c r="AM15" s="100">
        <f>IF(AL15/AK15&gt;100%,100%,AL15/AK15)</f>
        <v>1</v>
      </c>
      <c r="AN15" s="134" t="s">
        <v>300</v>
      </c>
      <c r="AO15" s="101" t="s">
        <v>76</v>
      </c>
      <c r="AP15" s="97">
        <f aca="true" t="shared" si="2" ref="AP15:AP37">P15</f>
        <v>0.15</v>
      </c>
      <c r="AQ15" s="103">
        <f>AL15</f>
        <v>2.904565739787161</v>
      </c>
      <c r="AR15" s="102">
        <f aca="true" t="shared" si="3" ref="AR15:AR31">IF(AQ15/AP15&gt;100%,100%,AQ15/AP15)</f>
        <v>1</v>
      </c>
      <c r="AS15" s="129" t="s">
        <v>300</v>
      </c>
    </row>
    <row r="16" spans="1:45" s="52" customFormat="1" ht="180">
      <c r="A16" s="10">
        <v>4</v>
      </c>
      <c r="B16" s="10" t="s">
        <v>52</v>
      </c>
      <c r="C16" s="10" t="s">
        <v>53</v>
      </c>
      <c r="D16" s="10" t="s">
        <v>78</v>
      </c>
      <c r="E16" s="49">
        <f t="shared" si="0"/>
        <v>0.04444444444444448</v>
      </c>
      <c r="F16" s="10" t="s">
        <v>79</v>
      </c>
      <c r="G16" s="10" t="s">
        <v>80</v>
      </c>
      <c r="H16" s="10" t="s">
        <v>81</v>
      </c>
      <c r="I16" s="10" t="s">
        <v>72</v>
      </c>
      <c r="J16" s="10" t="s">
        <v>58</v>
      </c>
      <c r="K16" s="10" t="s">
        <v>59</v>
      </c>
      <c r="L16" s="50">
        <v>0.05</v>
      </c>
      <c r="M16" s="50">
        <v>0.4</v>
      </c>
      <c r="N16" s="50">
        <v>0.8</v>
      </c>
      <c r="O16" s="50">
        <v>1</v>
      </c>
      <c r="P16" s="50">
        <v>1</v>
      </c>
      <c r="Q16" s="10" t="s">
        <v>60</v>
      </c>
      <c r="R16" s="10" t="s">
        <v>82</v>
      </c>
      <c r="S16" s="10" t="s">
        <v>83</v>
      </c>
      <c r="T16" s="10" t="s">
        <v>63</v>
      </c>
      <c r="U16" s="10" t="s">
        <v>84</v>
      </c>
      <c r="V16" s="51">
        <f aca="true" t="shared" si="4" ref="V16:V31">L16</f>
        <v>0.05</v>
      </c>
      <c r="W16" s="76">
        <v>0.05</v>
      </c>
      <c r="X16" s="76">
        <v>1</v>
      </c>
      <c r="Y16" s="77" t="s">
        <v>85</v>
      </c>
      <c r="Z16" s="77" t="s">
        <v>82</v>
      </c>
      <c r="AA16" s="51">
        <f aca="true" t="shared" si="5" ref="AA16:AA37">M16</f>
        <v>0.4</v>
      </c>
      <c r="AB16" s="78">
        <v>0.1165</v>
      </c>
      <c r="AC16" s="79">
        <f aca="true" t="shared" si="6" ref="AC16:AC37">IF(AB16/AA16&gt;100%,100%,AB16/AA16)</f>
        <v>0.29125</v>
      </c>
      <c r="AD16" s="80" t="s">
        <v>86</v>
      </c>
      <c r="AE16" s="80" t="s">
        <v>87</v>
      </c>
      <c r="AF16" s="104">
        <f aca="true" t="shared" si="7" ref="AF16:AF37">N16</f>
        <v>0.8</v>
      </c>
      <c r="AG16" s="131">
        <f>33/100</f>
        <v>0.33</v>
      </c>
      <c r="AH16" s="99">
        <f aca="true" t="shared" si="8" ref="AH16:AH31">IF(AG16/AF16&gt;100%,100%,AG16/AF16)</f>
        <v>0.4125</v>
      </c>
      <c r="AI16" s="75" t="s">
        <v>276</v>
      </c>
      <c r="AJ16" s="75" t="s">
        <v>87</v>
      </c>
      <c r="AK16" s="104">
        <f t="shared" si="1"/>
        <v>1</v>
      </c>
      <c r="AL16" s="133">
        <f>100/100</f>
        <v>1</v>
      </c>
      <c r="AM16" s="105">
        <f aca="true" t="shared" si="9" ref="AM16:AM30">IF(AL16/AK16&gt;100%,100%,AL16/AK16)</f>
        <v>1</v>
      </c>
      <c r="AN16" s="135" t="s">
        <v>301</v>
      </c>
      <c r="AO16" s="135" t="s">
        <v>87</v>
      </c>
      <c r="AP16" s="104">
        <f t="shared" si="2"/>
        <v>1</v>
      </c>
      <c r="AQ16" s="107">
        <f>AL16</f>
        <v>1</v>
      </c>
      <c r="AR16" s="102">
        <f t="shared" si="3"/>
        <v>1</v>
      </c>
      <c r="AS16" s="80" t="s">
        <v>329</v>
      </c>
    </row>
    <row r="17" spans="1:45" s="8" customFormat="1" ht="270">
      <c r="A17" s="45">
        <v>4</v>
      </c>
      <c r="B17" s="45" t="s">
        <v>52</v>
      </c>
      <c r="C17" s="45" t="s">
        <v>88</v>
      </c>
      <c r="D17" s="45" t="s">
        <v>89</v>
      </c>
      <c r="E17" s="3">
        <f t="shared" si="0"/>
        <v>0.04444444444444448</v>
      </c>
      <c r="F17" s="45" t="s">
        <v>55</v>
      </c>
      <c r="G17" s="45" t="s">
        <v>90</v>
      </c>
      <c r="H17" s="45" t="s">
        <v>91</v>
      </c>
      <c r="I17" s="5">
        <v>0.5</v>
      </c>
      <c r="J17" s="45" t="s">
        <v>58</v>
      </c>
      <c r="K17" s="45" t="s">
        <v>59</v>
      </c>
      <c r="L17" s="5">
        <v>0.15</v>
      </c>
      <c r="M17" s="5">
        <v>0.3</v>
      </c>
      <c r="N17" s="9">
        <v>0.45</v>
      </c>
      <c r="O17" s="9">
        <v>0.6</v>
      </c>
      <c r="P17" s="5">
        <v>0.6</v>
      </c>
      <c r="Q17" s="45" t="s">
        <v>92</v>
      </c>
      <c r="R17" s="45" t="s">
        <v>93</v>
      </c>
      <c r="S17" s="45" t="s">
        <v>94</v>
      </c>
      <c r="T17" s="45" t="s">
        <v>63</v>
      </c>
      <c r="U17" s="45" t="s">
        <v>95</v>
      </c>
      <c r="V17" s="6">
        <f t="shared" si="4"/>
        <v>0.15</v>
      </c>
      <c r="W17" s="81">
        <v>0.1098</v>
      </c>
      <c r="X17" s="82">
        <v>0.73</v>
      </c>
      <c r="Y17" s="83" t="s">
        <v>96</v>
      </c>
      <c r="Z17" s="83" t="s">
        <v>97</v>
      </c>
      <c r="AA17" s="6">
        <f t="shared" si="5"/>
        <v>0.3</v>
      </c>
      <c r="AB17" s="84">
        <v>0.3598</v>
      </c>
      <c r="AC17" s="71">
        <f t="shared" si="6"/>
        <v>1</v>
      </c>
      <c r="AD17" s="75" t="s">
        <v>98</v>
      </c>
      <c r="AE17" s="75" t="s">
        <v>99</v>
      </c>
      <c r="AF17" s="97">
        <f t="shared" si="7"/>
        <v>0.45</v>
      </c>
      <c r="AG17" s="130">
        <f>14904862981/24435803567</f>
        <v>0.609960009710042</v>
      </c>
      <c r="AH17" s="99">
        <f t="shared" si="8"/>
        <v>1</v>
      </c>
      <c r="AI17" s="75" t="s">
        <v>277</v>
      </c>
      <c r="AJ17" s="75" t="s">
        <v>99</v>
      </c>
      <c r="AK17" s="97">
        <f t="shared" si="1"/>
        <v>0.6</v>
      </c>
      <c r="AL17" s="133">
        <f>19262256264/24421360641</f>
        <v>0.7887462351979441</v>
      </c>
      <c r="AM17" s="100">
        <f t="shared" si="9"/>
        <v>1</v>
      </c>
      <c r="AN17" s="134" t="s">
        <v>302</v>
      </c>
      <c r="AO17" s="106" t="s">
        <v>99</v>
      </c>
      <c r="AP17" s="97">
        <f t="shared" si="2"/>
        <v>0.6</v>
      </c>
      <c r="AQ17" s="108">
        <f>AL17</f>
        <v>0.7887462351979441</v>
      </c>
      <c r="AR17" s="102">
        <f t="shared" si="3"/>
        <v>1</v>
      </c>
      <c r="AS17" s="75" t="s">
        <v>278</v>
      </c>
    </row>
    <row r="18" spans="1:45" s="8" customFormat="1" ht="270">
      <c r="A18" s="45">
        <v>4</v>
      </c>
      <c r="B18" s="45" t="s">
        <v>52</v>
      </c>
      <c r="C18" s="45" t="s">
        <v>88</v>
      </c>
      <c r="D18" s="45" t="s">
        <v>100</v>
      </c>
      <c r="E18" s="3">
        <f t="shared" si="0"/>
        <v>0.04444444444444448</v>
      </c>
      <c r="F18" s="45" t="s">
        <v>55</v>
      </c>
      <c r="G18" s="45" t="s">
        <v>101</v>
      </c>
      <c r="H18" s="45" t="s">
        <v>102</v>
      </c>
      <c r="I18" s="5">
        <v>0.6</v>
      </c>
      <c r="J18" s="45" t="s">
        <v>58</v>
      </c>
      <c r="K18" s="45" t="s">
        <v>59</v>
      </c>
      <c r="L18" s="5">
        <v>0.15</v>
      </c>
      <c r="M18" s="5">
        <v>0.3</v>
      </c>
      <c r="N18" s="9">
        <v>0.45</v>
      </c>
      <c r="O18" s="9">
        <v>0.6</v>
      </c>
      <c r="P18" s="5">
        <v>0.6</v>
      </c>
      <c r="Q18" s="45" t="s">
        <v>92</v>
      </c>
      <c r="R18" s="45" t="s">
        <v>93</v>
      </c>
      <c r="S18" s="45" t="s">
        <v>94</v>
      </c>
      <c r="T18" s="45" t="s">
        <v>63</v>
      </c>
      <c r="U18" s="45" t="s">
        <v>95</v>
      </c>
      <c r="V18" s="6">
        <f t="shared" si="4"/>
        <v>0.15</v>
      </c>
      <c r="W18" s="81">
        <v>0.1842</v>
      </c>
      <c r="X18" s="82">
        <v>1</v>
      </c>
      <c r="Y18" s="83" t="s">
        <v>103</v>
      </c>
      <c r="Z18" s="83" t="s">
        <v>97</v>
      </c>
      <c r="AA18" s="6">
        <f t="shared" si="5"/>
        <v>0.3</v>
      </c>
      <c r="AB18" s="84">
        <v>0.4623</v>
      </c>
      <c r="AC18" s="71">
        <f t="shared" si="6"/>
        <v>1</v>
      </c>
      <c r="AD18" s="75" t="s">
        <v>104</v>
      </c>
      <c r="AE18" s="75" t="s">
        <v>99</v>
      </c>
      <c r="AF18" s="97">
        <f t="shared" si="7"/>
        <v>0.45</v>
      </c>
      <c r="AG18" s="130">
        <v>0.6441</v>
      </c>
      <c r="AH18" s="99">
        <f t="shared" si="8"/>
        <v>1</v>
      </c>
      <c r="AI18" s="75" t="s">
        <v>279</v>
      </c>
      <c r="AJ18" s="75" t="s">
        <v>99</v>
      </c>
      <c r="AK18" s="97">
        <f t="shared" si="1"/>
        <v>0.6</v>
      </c>
      <c r="AL18" s="133">
        <f>19592980818/26125761668</f>
        <v>0.74994869305565</v>
      </c>
      <c r="AM18" s="100">
        <f t="shared" si="9"/>
        <v>1</v>
      </c>
      <c r="AN18" s="134" t="s">
        <v>303</v>
      </c>
      <c r="AO18" s="106" t="s">
        <v>99</v>
      </c>
      <c r="AP18" s="97">
        <f t="shared" si="2"/>
        <v>0.6</v>
      </c>
      <c r="AQ18" s="108">
        <f>AG18</f>
        <v>0.6441</v>
      </c>
      <c r="AR18" s="102">
        <f t="shared" si="3"/>
        <v>1</v>
      </c>
      <c r="AS18" s="75" t="s">
        <v>303</v>
      </c>
    </row>
    <row r="19" spans="1:45" s="8" customFormat="1" ht="210">
      <c r="A19" s="45">
        <v>4</v>
      </c>
      <c r="B19" s="45" t="s">
        <v>52</v>
      </c>
      <c r="C19" s="45" t="s">
        <v>88</v>
      </c>
      <c r="D19" s="45" t="s">
        <v>105</v>
      </c>
      <c r="E19" s="3">
        <f t="shared" si="0"/>
        <v>0.04444444444444448</v>
      </c>
      <c r="F19" s="45" t="s">
        <v>79</v>
      </c>
      <c r="G19" s="45" t="s">
        <v>106</v>
      </c>
      <c r="H19" s="45" t="s">
        <v>107</v>
      </c>
      <c r="I19" s="45"/>
      <c r="J19" s="45" t="s">
        <v>58</v>
      </c>
      <c r="K19" s="45" t="s">
        <v>59</v>
      </c>
      <c r="L19" s="5">
        <v>0.1</v>
      </c>
      <c r="M19" s="5">
        <v>0.25</v>
      </c>
      <c r="N19" s="5">
        <v>0.65</v>
      </c>
      <c r="O19" s="5">
        <v>0.95</v>
      </c>
      <c r="P19" s="5">
        <v>0.95</v>
      </c>
      <c r="Q19" s="45" t="s">
        <v>92</v>
      </c>
      <c r="R19" s="45" t="s">
        <v>93</v>
      </c>
      <c r="S19" s="45" t="s">
        <v>94</v>
      </c>
      <c r="T19" s="45" t="s">
        <v>63</v>
      </c>
      <c r="U19" s="45" t="s">
        <v>108</v>
      </c>
      <c r="V19" s="6">
        <f t="shared" si="4"/>
        <v>0.1</v>
      </c>
      <c r="W19" s="82">
        <v>0.24</v>
      </c>
      <c r="X19" s="82">
        <v>1</v>
      </c>
      <c r="Y19" s="83" t="s">
        <v>109</v>
      </c>
      <c r="Z19" s="83" t="s">
        <v>110</v>
      </c>
      <c r="AA19" s="6">
        <f t="shared" si="5"/>
        <v>0.25</v>
      </c>
      <c r="AB19" s="84">
        <v>0.4161</v>
      </c>
      <c r="AC19" s="71">
        <f t="shared" si="6"/>
        <v>1</v>
      </c>
      <c r="AD19" s="73" t="s">
        <v>111</v>
      </c>
      <c r="AE19" s="73" t="s">
        <v>112</v>
      </c>
      <c r="AF19" s="97">
        <f t="shared" si="7"/>
        <v>0.65</v>
      </c>
      <c r="AG19" s="130">
        <v>0.538</v>
      </c>
      <c r="AH19" s="99">
        <f t="shared" si="8"/>
        <v>0.8276923076923077</v>
      </c>
      <c r="AI19" s="75" t="s">
        <v>280</v>
      </c>
      <c r="AJ19" s="75" t="s">
        <v>285</v>
      </c>
      <c r="AK19" s="97">
        <f t="shared" si="1"/>
        <v>0.95</v>
      </c>
      <c r="AL19" s="133">
        <f>61382585648/64151762749</f>
        <v>0.9568339671064897</v>
      </c>
      <c r="AM19" s="100">
        <f t="shared" si="9"/>
        <v>1</v>
      </c>
      <c r="AN19" s="134" t="s">
        <v>304</v>
      </c>
      <c r="AO19" s="134" t="s">
        <v>305</v>
      </c>
      <c r="AP19" s="97">
        <f t="shared" si="2"/>
        <v>0.95</v>
      </c>
      <c r="AQ19" s="108">
        <f>AL19</f>
        <v>0.9568339671064897</v>
      </c>
      <c r="AR19" s="102">
        <f t="shared" si="3"/>
        <v>1</v>
      </c>
      <c r="AS19" s="75" t="s">
        <v>304</v>
      </c>
    </row>
    <row r="20" spans="1:45" s="8" customFormat="1" ht="203.25" customHeight="1">
      <c r="A20" s="45">
        <v>4</v>
      </c>
      <c r="B20" s="45" t="s">
        <v>52</v>
      </c>
      <c r="C20" s="45" t="s">
        <v>88</v>
      </c>
      <c r="D20" s="45" t="s">
        <v>113</v>
      </c>
      <c r="E20" s="3">
        <f t="shared" si="0"/>
        <v>0.04444444444444448</v>
      </c>
      <c r="F20" s="45" t="s">
        <v>55</v>
      </c>
      <c r="G20" s="45" t="s">
        <v>114</v>
      </c>
      <c r="H20" s="45" t="s">
        <v>115</v>
      </c>
      <c r="I20" s="45"/>
      <c r="J20" s="45" t="s">
        <v>58</v>
      </c>
      <c r="K20" s="45" t="s">
        <v>59</v>
      </c>
      <c r="L20" s="5">
        <v>0.02</v>
      </c>
      <c r="M20" s="5">
        <v>0.1</v>
      </c>
      <c r="N20" s="5">
        <v>0.2</v>
      </c>
      <c r="O20" s="5">
        <v>0.4</v>
      </c>
      <c r="P20" s="5">
        <v>0.4</v>
      </c>
      <c r="Q20" s="45" t="s">
        <v>92</v>
      </c>
      <c r="R20" s="45" t="s">
        <v>93</v>
      </c>
      <c r="S20" s="45" t="s">
        <v>94</v>
      </c>
      <c r="T20" s="45" t="s">
        <v>63</v>
      </c>
      <c r="U20" s="45" t="s">
        <v>108</v>
      </c>
      <c r="V20" s="6">
        <f t="shared" si="4"/>
        <v>0.02</v>
      </c>
      <c r="W20" s="82">
        <v>0.1</v>
      </c>
      <c r="X20" s="82">
        <v>1</v>
      </c>
      <c r="Y20" s="83" t="s">
        <v>116</v>
      </c>
      <c r="Z20" s="83" t="s">
        <v>117</v>
      </c>
      <c r="AA20" s="6">
        <f t="shared" si="5"/>
        <v>0.1</v>
      </c>
      <c r="AB20" s="85">
        <v>0.219</v>
      </c>
      <c r="AC20" s="71">
        <f t="shared" si="6"/>
        <v>1</v>
      </c>
      <c r="AD20" s="73" t="s">
        <v>118</v>
      </c>
      <c r="AE20" s="73" t="s">
        <v>112</v>
      </c>
      <c r="AF20" s="97">
        <f t="shared" si="7"/>
        <v>0.2</v>
      </c>
      <c r="AG20" s="132">
        <v>0.4225</v>
      </c>
      <c r="AH20" s="99">
        <f t="shared" si="8"/>
        <v>1</v>
      </c>
      <c r="AI20" s="75" t="s">
        <v>281</v>
      </c>
      <c r="AJ20" s="75" t="s">
        <v>285</v>
      </c>
      <c r="AK20" s="97">
        <f t="shared" si="1"/>
        <v>0.4</v>
      </c>
      <c r="AL20" s="133">
        <f>32483204069/64151762749</f>
        <v>0.5063493609067874</v>
      </c>
      <c r="AM20" s="100">
        <f t="shared" si="9"/>
        <v>1</v>
      </c>
      <c r="AN20" s="134" t="s">
        <v>306</v>
      </c>
      <c r="AO20" s="134" t="s">
        <v>305</v>
      </c>
      <c r="AP20" s="97">
        <f t="shared" si="2"/>
        <v>0.4</v>
      </c>
      <c r="AQ20" s="108">
        <f>AL20</f>
        <v>0.5063493609067874</v>
      </c>
      <c r="AR20" s="102">
        <f t="shared" si="3"/>
        <v>1</v>
      </c>
      <c r="AS20" s="73" t="s">
        <v>306</v>
      </c>
    </row>
    <row r="21" spans="1:45" s="8" customFormat="1" ht="150">
      <c r="A21" s="45">
        <v>4</v>
      </c>
      <c r="B21" s="45" t="s">
        <v>52</v>
      </c>
      <c r="C21" s="45" t="s">
        <v>88</v>
      </c>
      <c r="D21" s="45" t="s">
        <v>119</v>
      </c>
      <c r="E21" s="3">
        <f t="shared" si="0"/>
        <v>0.04444444444444448</v>
      </c>
      <c r="F21" s="45" t="s">
        <v>79</v>
      </c>
      <c r="G21" s="45" t="s">
        <v>120</v>
      </c>
      <c r="H21" s="45" t="s">
        <v>121</v>
      </c>
      <c r="I21" s="45"/>
      <c r="J21" s="45" t="s">
        <v>73</v>
      </c>
      <c r="K21" s="45" t="s">
        <v>59</v>
      </c>
      <c r="L21" s="5">
        <v>0.95</v>
      </c>
      <c r="M21" s="5">
        <v>0.95</v>
      </c>
      <c r="N21" s="5">
        <v>0.95</v>
      </c>
      <c r="O21" s="5">
        <v>0.95</v>
      </c>
      <c r="P21" s="5">
        <v>0.95</v>
      </c>
      <c r="Q21" s="45" t="s">
        <v>92</v>
      </c>
      <c r="R21" s="45" t="s">
        <v>93</v>
      </c>
      <c r="S21" s="45" t="s">
        <v>122</v>
      </c>
      <c r="T21" s="45" t="s">
        <v>63</v>
      </c>
      <c r="U21" s="10" t="s">
        <v>123</v>
      </c>
      <c r="V21" s="6">
        <f t="shared" si="4"/>
        <v>0.95</v>
      </c>
      <c r="W21" s="81">
        <v>0.974</v>
      </c>
      <c r="X21" s="82">
        <v>1</v>
      </c>
      <c r="Y21" s="83" t="s">
        <v>124</v>
      </c>
      <c r="Z21" s="83" t="s">
        <v>125</v>
      </c>
      <c r="AA21" s="6">
        <f t="shared" si="5"/>
        <v>0.95</v>
      </c>
      <c r="AB21" s="84">
        <v>0.9595</v>
      </c>
      <c r="AC21" s="71">
        <f t="shared" si="6"/>
        <v>1</v>
      </c>
      <c r="AD21" s="75" t="s">
        <v>126</v>
      </c>
      <c r="AE21" s="75" t="s">
        <v>127</v>
      </c>
      <c r="AF21" s="97">
        <f t="shared" si="7"/>
        <v>0.95</v>
      </c>
      <c r="AG21" s="130">
        <v>0.9761</v>
      </c>
      <c r="AH21" s="99">
        <f t="shared" si="8"/>
        <v>1</v>
      </c>
      <c r="AI21" s="75" t="s">
        <v>282</v>
      </c>
      <c r="AJ21" s="75" t="s">
        <v>283</v>
      </c>
      <c r="AK21" s="97">
        <f t="shared" si="1"/>
        <v>0.95</v>
      </c>
      <c r="AL21" s="133">
        <f>154/154</f>
        <v>1</v>
      </c>
      <c r="AM21" s="100">
        <f t="shared" si="9"/>
        <v>1</v>
      </c>
      <c r="AN21" s="134" t="s">
        <v>330</v>
      </c>
      <c r="AO21" s="101" t="s">
        <v>127</v>
      </c>
      <c r="AP21" s="97">
        <f t="shared" si="2"/>
        <v>0.95</v>
      </c>
      <c r="AQ21" s="108">
        <f>(97.4%*25%)+(95.95%*25%)+(97.61%*25%)+(100%*25%)</f>
        <v>0.9774</v>
      </c>
      <c r="AR21" s="102">
        <f t="shared" si="3"/>
        <v>1</v>
      </c>
      <c r="AS21" s="75" t="s">
        <v>331</v>
      </c>
    </row>
    <row r="22" spans="1:45" s="8" customFormat="1" ht="147" customHeight="1">
      <c r="A22" s="45">
        <v>4</v>
      </c>
      <c r="B22" s="45" t="s">
        <v>52</v>
      </c>
      <c r="C22" s="45" t="s">
        <v>88</v>
      </c>
      <c r="D22" s="45" t="s">
        <v>128</v>
      </c>
      <c r="E22" s="3">
        <f t="shared" si="0"/>
        <v>0.04444444444444448</v>
      </c>
      <c r="F22" s="45" t="s">
        <v>55</v>
      </c>
      <c r="G22" s="45" t="s">
        <v>129</v>
      </c>
      <c r="H22" s="45" t="s">
        <v>130</v>
      </c>
      <c r="I22" s="45"/>
      <c r="J22" s="45" t="s">
        <v>73</v>
      </c>
      <c r="K22" s="45" t="s">
        <v>59</v>
      </c>
      <c r="L22" s="5">
        <v>1</v>
      </c>
      <c r="M22" s="5">
        <v>1</v>
      </c>
      <c r="N22" s="5">
        <v>1</v>
      </c>
      <c r="O22" s="5">
        <v>1</v>
      </c>
      <c r="P22" s="5">
        <v>1</v>
      </c>
      <c r="Q22" s="45" t="s">
        <v>92</v>
      </c>
      <c r="R22" s="10" t="s">
        <v>93</v>
      </c>
      <c r="S22" s="10" t="s">
        <v>131</v>
      </c>
      <c r="T22" s="10" t="s">
        <v>63</v>
      </c>
      <c r="U22" s="10" t="s">
        <v>132</v>
      </c>
      <c r="V22" s="6">
        <f t="shared" si="4"/>
        <v>1</v>
      </c>
      <c r="W22" s="81">
        <v>0.803</v>
      </c>
      <c r="X22" s="81">
        <f>W22/V22</f>
        <v>0.803</v>
      </c>
      <c r="Y22" s="83" t="s">
        <v>133</v>
      </c>
      <c r="Z22" s="83" t="s">
        <v>125</v>
      </c>
      <c r="AA22" s="6">
        <f t="shared" si="5"/>
        <v>1</v>
      </c>
      <c r="AB22" s="84">
        <v>0.9875</v>
      </c>
      <c r="AC22" s="71">
        <f t="shared" si="6"/>
        <v>0.9875</v>
      </c>
      <c r="AD22" s="73" t="s">
        <v>134</v>
      </c>
      <c r="AE22" s="73" t="s">
        <v>112</v>
      </c>
      <c r="AF22" s="97">
        <f t="shared" si="7"/>
        <v>1</v>
      </c>
      <c r="AG22" s="132">
        <v>0.9965</v>
      </c>
      <c r="AH22" s="99">
        <f t="shared" si="8"/>
        <v>0.9965</v>
      </c>
      <c r="AI22" s="75" t="s">
        <v>286</v>
      </c>
      <c r="AJ22" s="75" t="s">
        <v>284</v>
      </c>
      <c r="AK22" s="97">
        <f t="shared" si="1"/>
        <v>1</v>
      </c>
      <c r="AL22" s="140">
        <f>278/283</f>
        <v>0.9823321554770318</v>
      </c>
      <c r="AM22" s="100">
        <f t="shared" si="9"/>
        <v>0.9823321554770318</v>
      </c>
      <c r="AN22" s="134" t="s">
        <v>332</v>
      </c>
      <c r="AO22" s="101" t="s">
        <v>307</v>
      </c>
      <c r="AP22" s="97">
        <f t="shared" si="2"/>
        <v>1</v>
      </c>
      <c r="AQ22" s="108">
        <f>(80.3%*25%)+(98.75%*25%)+(99.65%*25%)+(98.23%*25%)</f>
        <v>0.942325</v>
      </c>
      <c r="AR22" s="102">
        <f t="shared" si="3"/>
        <v>0.942325</v>
      </c>
      <c r="AS22" s="73" t="s">
        <v>333</v>
      </c>
    </row>
    <row r="23" spans="1:45" s="8" customFormat="1" ht="120" customHeight="1">
      <c r="A23" s="45">
        <v>4</v>
      </c>
      <c r="B23" s="45" t="s">
        <v>52</v>
      </c>
      <c r="C23" s="45" t="s">
        <v>88</v>
      </c>
      <c r="D23" s="45" t="s">
        <v>135</v>
      </c>
      <c r="E23" s="3">
        <f t="shared" si="0"/>
        <v>0.04444444444444448</v>
      </c>
      <c r="F23" s="45" t="s">
        <v>55</v>
      </c>
      <c r="G23" s="45" t="s">
        <v>136</v>
      </c>
      <c r="H23" s="45" t="s">
        <v>137</v>
      </c>
      <c r="I23" s="45"/>
      <c r="J23" s="45" t="s">
        <v>73</v>
      </c>
      <c r="K23" s="45" t="s">
        <v>59</v>
      </c>
      <c r="L23" s="5">
        <v>0.95</v>
      </c>
      <c r="M23" s="5">
        <v>0.95</v>
      </c>
      <c r="N23" s="5">
        <v>0.95</v>
      </c>
      <c r="O23" s="5">
        <v>0.95</v>
      </c>
      <c r="P23" s="5">
        <v>0.95</v>
      </c>
      <c r="Q23" s="45" t="s">
        <v>92</v>
      </c>
      <c r="R23" s="45" t="s">
        <v>138</v>
      </c>
      <c r="S23" s="45" t="s">
        <v>139</v>
      </c>
      <c r="T23" s="45" t="s">
        <v>63</v>
      </c>
      <c r="U23" s="10" t="s">
        <v>132</v>
      </c>
      <c r="V23" s="6">
        <f t="shared" si="4"/>
        <v>0.95</v>
      </c>
      <c r="W23" s="82">
        <v>1</v>
      </c>
      <c r="X23" s="82">
        <v>1</v>
      </c>
      <c r="Y23" s="83" t="s">
        <v>140</v>
      </c>
      <c r="Z23" s="83" t="s">
        <v>125</v>
      </c>
      <c r="AA23" s="6">
        <f t="shared" si="5"/>
        <v>0.95</v>
      </c>
      <c r="AB23" s="84">
        <v>0.9966</v>
      </c>
      <c r="AC23" s="71">
        <f t="shared" si="6"/>
        <v>1</v>
      </c>
      <c r="AD23" s="75" t="s">
        <v>141</v>
      </c>
      <c r="AE23" s="75" t="s">
        <v>142</v>
      </c>
      <c r="AF23" s="97">
        <f t="shared" si="7"/>
        <v>0.95</v>
      </c>
      <c r="AG23" s="132">
        <v>0.9761</v>
      </c>
      <c r="AH23" s="99">
        <f t="shared" si="8"/>
        <v>1</v>
      </c>
      <c r="AI23" s="75" t="s">
        <v>287</v>
      </c>
      <c r="AJ23" s="75" t="s">
        <v>143</v>
      </c>
      <c r="AK23" s="97">
        <f t="shared" si="1"/>
        <v>0.95</v>
      </c>
      <c r="AL23" s="140">
        <f>(34+154)/(34+154)</f>
        <v>1</v>
      </c>
      <c r="AM23" s="100">
        <f t="shared" si="9"/>
        <v>1</v>
      </c>
      <c r="AN23" s="134" t="s">
        <v>327</v>
      </c>
      <c r="AO23" s="101" t="s">
        <v>308</v>
      </c>
      <c r="AP23" s="97">
        <f t="shared" si="2"/>
        <v>0.95</v>
      </c>
      <c r="AQ23" s="108">
        <f>(100%*25%)+(99.66%*25%)+(97.61%*25%)+(100%*25%)</f>
        <v>0.9931749999999999</v>
      </c>
      <c r="AR23" s="102">
        <f t="shared" si="3"/>
        <v>1</v>
      </c>
      <c r="AS23" s="75" t="s">
        <v>334</v>
      </c>
    </row>
    <row r="24" spans="1:45" s="8" customFormat="1" ht="205.5" customHeight="1">
      <c r="A24" s="45">
        <v>4</v>
      </c>
      <c r="B24" s="45" t="s">
        <v>52</v>
      </c>
      <c r="C24" s="45" t="s">
        <v>144</v>
      </c>
      <c r="D24" s="45" t="s">
        <v>145</v>
      </c>
      <c r="E24" s="3">
        <f t="shared" si="0"/>
        <v>0.04444444444444448</v>
      </c>
      <c r="F24" s="45" t="s">
        <v>79</v>
      </c>
      <c r="G24" s="45" t="s">
        <v>146</v>
      </c>
      <c r="H24" s="45" t="s">
        <v>147</v>
      </c>
      <c r="I24" s="45"/>
      <c r="J24" s="45" t="s">
        <v>148</v>
      </c>
      <c r="K24" s="45" t="s">
        <v>149</v>
      </c>
      <c r="L24" s="11">
        <v>1920</v>
      </c>
      <c r="M24" s="11">
        <v>1920</v>
      </c>
      <c r="N24" s="11">
        <v>1920</v>
      </c>
      <c r="O24" s="11">
        <v>1920</v>
      </c>
      <c r="P24" s="12">
        <f>SUM(L24:O24)</f>
        <v>7680</v>
      </c>
      <c r="Q24" s="45" t="s">
        <v>92</v>
      </c>
      <c r="R24" s="45" t="s">
        <v>150</v>
      </c>
      <c r="S24" s="45" t="s">
        <v>151</v>
      </c>
      <c r="T24" s="45" t="s">
        <v>63</v>
      </c>
      <c r="U24" s="45" t="s">
        <v>151</v>
      </c>
      <c r="V24" s="13">
        <f t="shared" si="4"/>
        <v>1920</v>
      </c>
      <c r="W24" s="86">
        <v>3</v>
      </c>
      <c r="X24" s="81">
        <f>W24/V24</f>
        <v>0.0015625</v>
      </c>
      <c r="Y24" s="83" t="s">
        <v>152</v>
      </c>
      <c r="Z24" s="83" t="s">
        <v>153</v>
      </c>
      <c r="AA24" s="13">
        <f t="shared" si="5"/>
        <v>1920</v>
      </c>
      <c r="AB24" s="13">
        <v>1331</v>
      </c>
      <c r="AC24" s="71">
        <f t="shared" si="6"/>
        <v>0.6932291666666667</v>
      </c>
      <c r="AD24" s="73" t="s">
        <v>154</v>
      </c>
      <c r="AE24" s="87" t="s">
        <v>155</v>
      </c>
      <c r="AF24" s="109">
        <f t="shared" si="7"/>
        <v>1920</v>
      </c>
      <c r="AG24" s="109">
        <v>6261</v>
      </c>
      <c r="AH24" s="99">
        <f t="shared" si="8"/>
        <v>1</v>
      </c>
      <c r="AI24" s="75" t="s">
        <v>156</v>
      </c>
      <c r="AJ24" s="75" t="s">
        <v>157</v>
      </c>
      <c r="AK24" s="110">
        <f t="shared" si="1"/>
        <v>1920</v>
      </c>
      <c r="AL24" s="136">
        <f>6830</f>
        <v>6830</v>
      </c>
      <c r="AM24" s="100">
        <f t="shared" si="9"/>
        <v>1</v>
      </c>
      <c r="AN24" s="134" t="s">
        <v>309</v>
      </c>
      <c r="AO24" s="101" t="s">
        <v>310</v>
      </c>
      <c r="AP24" s="110">
        <f t="shared" si="2"/>
        <v>7680</v>
      </c>
      <c r="AQ24" s="111">
        <f>SUM(W24+AB24+AG24+AL24)</f>
        <v>14425</v>
      </c>
      <c r="AR24" s="102">
        <f t="shared" si="3"/>
        <v>1</v>
      </c>
      <c r="AS24" s="75" t="s">
        <v>335</v>
      </c>
    </row>
    <row r="25" spans="1:45" s="8" customFormat="1" ht="270">
      <c r="A25" s="45">
        <v>4</v>
      </c>
      <c r="B25" s="45" t="s">
        <v>52</v>
      </c>
      <c r="C25" s="45" t="s">
        <v>144</v>
      </c>
      <c r="D25" s="45" t="s">
        <v>158</v>
      </c>
      <c r="E25" s="3">
        <f t="shared" si="0"/>
        <v>0.04444444444444448</v>
      </c>
      <c r="F25" s="45" t="s">
        <v>55</v>
      </c>
      <c r="G25" s="45" t="s">
        <v>159</v>
      </c>
      <c r="H25" s="45" t="s">
        <v>160</v>
      </c>
      <c r="I25" s="45"/>
      <c r="J25" s="45" t="s">
        <v>148</v>
      </c>
      <c r="K25" s="45" t="s">
        <v>161</v>
      </c>
      <c r="L25" s="11">
        <v>720</v>
      </c>
      <c r="M25" s="11">
        <v>720</v>
      </c>
      <c r="N25" s="11">
        <v>720</v>
      </c>
      <c r="O25" s="11">
        <v>720</v>
      </c>
      <c r="P25" s="12">
        <f>SUM(L25:O25)</f>
        <v>2880</v>
      </c>
      <c r="Q25" s="45" t="s">
        <v>92</v>
      </c>
      <c r="R25" s="45" t="s">
        <v>161</v>
      </c>
      <c r="S25" s="45" t="s">
        <v>151</v>
      </c>
      <c r="T25" s="45" t="s">
        <v>63</v>
      </c>
      <c r="U25" s="45" t="s">
        <v>151</v>
      </c>
      <c r="V25" s="13">
        <f t="shared" si="4"/>
        <v>720</v>
      </c>
      <c r="W25" s="86">
        <v>1</v>
      </c>
      <c r="X25" s="82">
        <v>0</v>
      </c>
      <c r="Y25" s="83" t="s">
        <v>162</v>
      </c>
      <c r="Z25" s="83" t="s">
        <v>163</v>
      </c>
      <c r="AA25" s="13">
        <f t="shared" si="5"/>
        <v>720</v>
      </c>
      <c r="AB25" s="88">
        <v>279</v>
      </c>
      <c r="AC25" s="71">
        <f t="shared" si="6"/>
        <v>0.3875</v>
      </c>
      <c r="AD25" s="75" t="s">
        <v>164</v>
      </c>
      <c r="AE25" s="75" t="s">
        <v>157</v>
      </c>
      <c r="AF25" s="109">
        <f t="shared" si="7"/>
        <v>720</v>
      </c>
      <c r="AG25" s="109">
        <v>3042</v>
      </c>
      <c r="AH25" s="99">
        <f t="shared" si="8"/>
        <v>1</v>
      </c>
      <c r="AI25" s="75" t="s">
        <v>165</v>
      </c>
      <c r="AJ25" s="75" t="s">
        <v>157</v>
      </c>
      <c r="AK25" s="110">
        <f t="shared" si="1"/>
        <v>720</v>
      </c>
      <c r="AL25" s="136">
        <v>2302</v>
      </c>
      <c r="AM25" s="100">
        <f t="shared" si="9"/>
        <v>1</v>
      </c>
      <c r="AN25" s="134" t="s">
        <v>311</v>
      </c>
      <c r="AO25" s="101" t="s">
        <v>310</v>
      </c>
      <c r="AP25" s="110">
        <f t="shared" si="2"/>
        <v>2880</v>
      </c>
      <c r="AQ25" s="111">
        <f>SUM(W25+AB25+AG25+AL25)</f>
        <v>5624</v>
      </c>
      <c r="AR25" s="102">
        <f t="shared" si="3"/>
        <v>1</v>
      </c>
      <c r="AS25" s="75" t="s">
        <v>336</v>
      </c>
    </row>
    <row r="26" spans="1:45" s="8" customFormat="1" ht="282" customHeight="1">
      <c r="A26" s="45">
        <v>4</v>
      </c>
      <c r="B26" s="45" t="s">
        <v>52</v>
      </c>
      <c r="C26" s="45" t="s">
        <v>144</v>
      </c>
      <c r="D26" s="45" t="s">
        <v>166</v>
      </c>
      <c r="E26" s="3">
        <f t="shared" si="0"/>
        <v>0.04444444444444448</v>
      </c>
      <c r="F26" s="45" t="s">
        <v>55</v>
      </c>
      <c r="G26" s="45" t="s">
        <v>167</v>
      </c>
      <c r="H26" s="45" t="s">
        <v>168</v>
      </c>
      <c r="I26" s="45"/>
      <c r="J26" s="45" t="s">
        <v>148</v>
      </c>
      <c r="K26" s="45" t="s">
        <v>169</v>
      </c>
      <c r="L26" s="14">
        <v>27</v>
      </c>
      <c r="M26" s="14">
        <v>40</v>
      </c>
      <c r="N26" s="14">
        <v>42</v>
      </c>
      <c r="O26" s="14">
        <v>27</v>
      </c>
      <c r="P26" s="12">
        <f aca="true" t="shared" si="10" ref="P26:P31">SUM(L26:O26)</f>
        <v>136</v>
      </c>
      <c r="Q26" s="45" t="s">
        <v>92</v>
      </c>
      <c r="R26" s="45" t="s">
        <v>170</v>
      </c>
      <c r="S26" s="45" t="s">
        <v>171</v>
      </c>
      <c r="T26" s="45" t="s">
        <v>63</v>
      </c>
      <c r="U26" s="45" t="s">
        <v>171</v>
      </c>
      <c r="V26" s="13">
        <f t="shared" si="4"/>
        <v>27</v>
      </c>
      <c r="W26" s="86">
        <v>3</v>
      </c>
      <c r="X26" s="82">
        <f>W26/V26</f>
        <v>0.1111111111111111</v>
      </c>
      <c r="Y26" s="83" t="s">
        <v>172</v>
      </c>
      <c r="Z26" s="83" t="s">
        <v>173</v>
      </c>
      <c r="AA26" s="13">
        <f t="shared" si="5"/>
        <v>40</v>
      </c>
      <c r="AB26" s="88">
        <v>64</v>
      </c>
      <c r="AC26" s="71">
        <f t="shared" si="6"/>
        <v>1</v>
      </c>
      <c r="AD26" s="73" t="s">
        <v>174</v>
      </c>
      <c r="AE26" s="73" t="s">
        <v>175</v>
      </c>
      <c r="AF26" s="109">
        <f t="shared" si="7"/>
        <v>42</v>
      </c>
      <c r="AG26" s="109">
        <v>51</v>
      </c>
      <c r="AH26" s="99">
        <f t="shared" si="8"/>
        <v>1</v>
      </c>
      <c r="AI26" s="75" t="s">
        <v>288</v>
      </c>
      <c r="AJ26" s="75" t="s">
        <v>176</v>
      </c>
      <c r="AK26" s="110">
        <f t="shared" si="1"/>
        <v>27</v>
      </c>
      <c r="AL26" s="136">
        <v>37</v>
      </c>
      <c r="AM26" s="100">
        <f t="shared" si="9"/>
        <v>1</v>
      </c>
      <c r="AN26" s="134" t="s">
        <v>322</v>
      </c>
      <c r="AO26" s="101" t="s">
        <v>312</v>
      </c>
      <c r="AP26" s="110">
        <f t="shared" si="2"/>
        <v>136</v>
      </c>
      <c r="AQ26" s="111">
        <f>SUM(W26+AB26+AG26+AL26)</f>
        <v>155</v>
      </c>
      <c r="AR26" s="102">
        <f t="shared" si="3"/>
        <v>1</v>
      </c>
      <c r="AS26" s="73" t="s">
        <v>342</v>
      </c>
    </row>
    <row r="27" spans="1:45" s="8" customFormat="1" ht="150">
      <c r="A27" s="45">
        <v>4</v>
      </c>
      <c r="B27" s="45" t="s">
        <v>52</v>
      </c>
      <c r="C27" s="45" t="s">
        <v>144</v>
      </c>
      <c r="D27" s="45" t="s">
        <v>177</v>
      </c>
      <c r="E27" s="3">
        <f t="shared" si="0"/>
        <v>0.04444444444444448</v>
      </c>
      <c r="F27" s="45" t="s">
        <v>79</v>
      </c>
      <c r="G27" s="45" t="s">
        <v>178</v>
      </c>
      <c r="H27" s="45" t="s">
        <v>179</v>
      </c>
      <c r="I27" s="45"/>
      <c r="J27" s="45" t="s">
        <v>148</v>
      </c>
      <c r="K27" s="45" t="s">
        <v>170</v>
      </c>
      <c r="L27" s="14">
        <v>57</v>
      </c>
      <c r="M27" s="14">
        <v>88</v>
      </c>
      <c r="N27" s="14">
        <v>89</v>
      </c>
      <c r="O27" s="14">
        <v>57</v>
      </c>
      <c r="P27" s="12">
        <f t="shared" si="10"/>
        <v>291</v>
      </c>
      <c r="Q27" s="45" t="s">
        <v>92</v>
      </c>
      <c r="R27" s="45" t="s">
        <v>170</v>
      </c>
      <c r="S27" s="45" t="s">
        <v>171</v>
      </c>
      <c r="T27" s="45" t="s">
        <v>63</v>
      </c>
      <c r="U27" s="45" t="s">
        <v>171</v>
      </c>
      <c r="V27" s="13">
        <f t="shared" si="4"/>
        <v>57</v>
      </c>
      <c r="W27" s="86">
        <v>4</v>
      </c>
      <c r="X27" s="82">
        <f>W27/V27</f>
        <v>0.07017543859649122</v>
      </c>
      <c r="Y27" s="83" t="s">
        <v>180</v>
      </c>
      <c r="Z27" s="83" t="s">
        <v>171</v>
      </c>
      <c r="AA27" s="13">
        <f t="shared" si="5"/>
        <v>88</v>
      </c>
      <c r="AB27" s="88">
        <v>172</v>
      </c>
      <c r="AC27" s="71">
        <f t="shared" si="6"/>
        <v>1</v>
      </c>
      <c r="AD27" s="75" t="s">
        <v>181</v>
      </c>
      <c r="AE27" s="75" t="s">
        <v>182</v>
      </c>
      <c r="AF27" s="109">
        <f t="shared" si="7"/>
        <v>89</v>
      </c>
      <c r="AG27" s="109">
        <v>77</v>
      </c>
      <c r="AH27" s="99">
        <f t="shared" si="8"/>
        <v>0.8651685393258427</v>
      </c>
      <c r="AI27" s="75" t="s">
        <v>289</v>
      </c>
      <c r="AJ27" s="75" t="s">
        <v>182</v>
      </c>
      <c r="AK27" s="110">
        <f t="shared" si="1"/>
        <v>57</v>
      </c>
      <c r="AL27" s="136">
        <v>57</v>
      </c>
      <c r="AM27" s="100">
        <f t="shared" si="9"/>
        <v>1</v>
      </c>
      <c r="AN27" s="134" t="s">
        <v>313</v>
      </c>
      <c r="AO27" s="134" t="s">
        <v>182</v>
      </c>
      <c r="AP27" s="110">
        <f t="shared" si="2"/>
        <v>291</v>
      </c>
      <c r="AQ27" s="111">
        <f>SUM(W27+AB27+AG27)</f>
        <v>253</v>
      </c>
      <c r="AR27" s="102">
        <f t="shared" si="3"/>
        <v>0.8694158075601375</v>
      </c>
      <c r="AS27" s="75" t="s">
        <v>341</v>
      </c>
    </row>
    <row r="28" spans="1:45" s="8" customFormat="1" ht="120">
      <c r="A28" s="45">
        <v>4</v>
      </c>
      <c r="B28" s="45" t="s">
        <v>52</v>
      </c>
      <c r="C28" s="45" t="s">
        <v>144</v>
      </c>
      <c r="D28" s="45" t="s">
        <v>183</v>
      </c>
      <c r="E28" s="3">
        <f t="shared" si="0"/>
        <v>0.04444444444444448</v>
      </c>
      <c r="F28" s="45" t="s">
        <v>79</v>
      </c>
      <c r="G28" s="45" t="s">
        <v>184</v>
      </c>
      <c r="H28" s="45" t="s">
        <v>185</v>
      </c>
      <c r="I28" s="45"/>
      <c r="J28" s="45" t="s">
        <v>148</v>
      </c>
      <c r="K28" s="45" t="s">
        <v>186</v>
      </c>
      <c r="L28" s="14">
        <v>40</v>
      </c>
      <c r="M28" s="14">
        <v>24</v>
      </c>
      <c r="N28" s="14">
        <v>24</v>
      </c>
      <c r="O28" s="14">
        <v>24</v>
      </c>
      <c r="P28" s="12">
        <f t="shared" si="10"/>
        <v>112</v>
      </c>
      <c r="Q28" s="45" t="s">
        <v>92</v>
      </c>
      <c r="R28" s="45" t="s">
        <v>187</v>
      </c>
      <c r="S28" s="45" t="s">
        <v>188</v>
      </c>
      <c r="T28" s="45" t="s">
        <v>63</v>
      </c>
      <c r="U28" s="45" t="s">
        <v>187</v>
      </c>
      <c r="V28" s="13">
        <f t="shared" si="4"/>
        <v>40</v>
      </c>
      <c r="W28" s="86">
        <v>47</v>
      </c>
      <c r="X28" s="82">
        <v>1</v>
      </c>
      <c r="Y28" s="83" t="s">
        <v>189</v>
      </c>
      <c r="Z28" s="83" t="s">
        <v>190</v>
      </c>
      <c r="AA28" s="13">
        <f t="shared" si="5"/>
        <v>24</v>
      </c>
      <c r="AB28" s="88">
        <v>27</v>
      </c>
      <c r="AC28" s="71">
        <f t="shared" si="6"/>
        <v>1</v>
      </c>
      <c r="AD28" s="75" t="s">
        <v>191</v>
      </c>
      <c r="AE28" s="75" t="s">
        <v>192</v>
      </c>
      <c r="AF28" s="109">
        <f t="shared" si="7"/>
        <v>24</v>
      </c>
      <c r="AG28" s="109">
        <v>22</v>
      </c>
      <c r="AH28" s="99">
        <f t="shared" si="8"/>
        <v>0.9166666666666666</v>
      </c>
      <c r="AI28" s="75" t="s">
        <v>290</v>
      </c>
      <c r="AJ28" s="75" t="s">
        <v>193</v>
      </c>
      <c r="AK28" s="110">
        <f t="shared" si="1"/>
        <v>24</v>
      </c>
      <c r="AL28" s="136">
        <v>46</v>
      </c>
      <c r="AM28" s="100">
        <f t="shared" si="9"/>
        <v>1</v>
      </c>
      <c r="AN28" s="139" t="s">
        <v>325</v>
      </c>
      <c r="AO28" s="134" t="s">
        <v>193</v>
      </c>
      <c r="AP28" s="110">
        <f t="shared" si="2"/>
        <v>112</v>
      </c>
      <c r="AQ28" s="111">
        <f>SUM(W28+AB28+AG28+AL28)</f>
        <v>142</v>
      </c>
      <c r="AR28" s="102">
        <f t="shared" si="3"/>
        <v>1</v>
      </c>
      <c r="AS28" s="75" t="s">
        <v>340</v>
      </c>
    </row>
    <row r="29" spans="1:45" s="8" customFormat="1" ht="120">
      <c r="A29" s="45">
        <v>4</v>
      </c>
      <c r="B29" s="45" t="s">
        <v>52</v>
      </c>
      <c r="C29" s="45" t="s">
        <v>144</v>
      </c>
      <c r="D29" s="45" t="s">
        <v>194</v>
      </c>
      <c r="E29" s="3">
        <f t="shared" si="0"/>
        <v>0.04444444444444448</v>
      </c>
      <c r="F29" s="45" t="s">
        <v>79</v>
      </c>
      <c r="G29" s="45" t="s">
        <v>195</v>
      </c>
      <c r="H29" s="45" t="s">
        <v>196</v>
      </c>
      <c r="I29" s="45"/>
      <c r="J29" s="45" t="s">
        <v>148</v>
      </c>
      <c r="K29" s="45" t="s">
        <v>186</v>
      </c>
      <c r="L29" s="14">
        <v>26</v>
      </c>
      <c r="M29" s="14">
        <v>36</v>
      </c>
      <c r="N29" s="14">
        <v>36</v>
      </c>
      <c r="O29" s="14">
        <v>32</v>
      </c>
      <c r="P29" s="12">
        <f t="shared" si="10"/>
        <v>130</v>
      </c>
      <c r="Q29" s="45" t="s">
        <v>92</v>
      </c>
      <c r="R29" s="45" t="s">
        <v>187</v>
      </c>
      <c r="S29" s="45" t="s">
        <v>188</v>
      </c>
      <c r="T29" s="45" t="s">
        <v>63</v>
      </c>
      <c r="U29" s="45" t="s">
        <v>187</v>
      </c>
      <c r="V29" s="13">
        <f t="shared" si="4"/>
        <v>26</v>
      </c>
      <c r="W29" s="86">
        <v>33</v>
      </c>
      <c r="X29" s="82">
        <v>1</v>
      </c>
      <c r="Y29" s="83" t="s">
        <v>197</v>
      </c>
      <c r="Z29" s="83" t="s">
        <v>190</v>
      </c>
      <c r="AA29" s="13">
        <f t="shared" si="5"/>
        <v>36</v>
      </c>
      <c r="AB29" s="88">
        <v>42</v>
      </c>
      <c r="AC29" s="71">
        <f t="shared" si="6"/>
        <v>1</v>
      </c>
      <c r="AD29" s="75" t="s">
        <v>198</v>
      </c>
      <c r="AE29" s="75" t="s">
        <v>192</v>
      </c>
      <c r="AF29" s="109">
        <f t="shared" si="7"/>
        <v>36</v>
      </c>
      <c r="AG29" s="109">
        <v>43</v>
      </c>
      <c r="AH29" s="99">
        <f t="shared" si="8"/>
        <v>1</v>
      </c>
      <c r="AI29" s="75" t="s">
        <v>291</v>
      </c>
      <c r="AJ29" s="75" t="s">
        <v>199</v>
      </c>
      <c r="AK29" s="110">
        <f t="shared" si="1"/>
        <v>32</v>
      </c>
      <c r="AL29" s="136">
        <v>43</v>
      </c>
      <c r="AM29" s="100">
        <f t="shared" si="9"/>
        <v>1</v>
      </c>
      <c r="AN29" s="139" t="s">
        <v>326</v>
      </c>
      <c r="AO29" s="101" t="s">
        <v>199</v>
      </c>
      <c r="AP29" s="110">
        <f t="shared" si="2"/>
        <v>130</v>
      </c>
      <c r="AQ29" s="111">
        <f>SUM(W29+AB29+AG29+AL29)</f>
        <v>161</v>
      </c>
      <c r="AR29" s="102">
        <f t="shared" si="3"/>
        <v>1</v>
      </c>
      <c r="AS29" s="75" t="s">
        <v>339</v>
      </c>
    </row>
    <row r="30" spans="1:45" s="8" customFormat="1" ht="120">
      <c r="A30" s="45">
        <v>4</v>
      </c>
      <c r="B30" s="45" t="s">
        <v>52</v>
      </c>
      <c r="C30" s="45" t="s">
        <v>144</v>
      </c>
      <c r="D30" s="45" t="s">
        <v>200</v>
      </c>
      <c r="E30" s="3">
        <f t="shared" si="0"/>
        <v>0.04444444444444448</v>
      </c>
      <c r="F30" s="45" t="s">
        <v>79</v>
      </c>
      <c r="G30" s="45" t="s">
        <v>201</v>
      </c>
      <c r="H30" s="45" t="s">
        <v>202</v>
      </c>
      <c r="I30" s="45"/>
      <c r="J30" s="45" t="s">
        <v>148</v>
      </c>
      <c r="K30" s="45" t="s">
        <v>186</v>
      </c>
      <c r="L30" s="14">
        <v>8</v>
      </c>
      <c r="M30" s="14">
        <v>9</v>
      </c>
      <c r="N30" s="14">
        <v>9</v>
      </c>
      <c r="O30" s="14">
        <v>8</v>
      </c>
      <c r="P30" s="12">
        <f t="shared" si="10"/>
        <v>34</v>
      </c>
      <c r="Q30" s="45" t="s">
        <v>92</v>
      </c>
      <c r="R30" s="45" t="s">
        <v>187</v>
      </c>
      <c r="S30" s="45" t="s">
        <v>188</v>
      </c>
      <c r="T30" s="45" t="s">
        <v>63</v>
      </c>
      <c r="U30" s="45" t="s">
        <v>187</v>
      </c>
      <c r="V30" s="13">
        <f t="shared" si="4"/>
        <v>8</v>
      </c>
      <c r="W30" s="86">
        <v>8</v>
      </c>
      <c r="X30" s="82">
        <v>1</v>
      </c>
      <c r="Y30" s="83" t="s">
        <v>203</v>
      </c>
      <c r="Z30" s="83" t="s">
        <v>204</v>
      </c>
      <c r="AA30" s="13">
        <f t="shared" si="5"/>
        <v>9</v>
      </c>
      <c r="AB30" s="88">
        <v>9</v>
      </c>
      <c r="AC30" s="71">
        <f t="shared" si="6"/>
        <v>1</v>
      </c>
      <c r="AD30" s="75" t="s">
        <v>205</v>
      </c>
      <c r="AE30" s="75" t="s">
        <v>204</v>
      </c>
      <c r="AF30" s="109">
        <f t="shared" si="7"/>
        <v>9</v>
      </c>
      <c r="AG30" s="109">
        <v>9</v>
      </c>
      <c r="AH30" s="99">
        <f t="shared" si="8"/>
        <v>1</v>
      </c>
      <c r="AI30" s="75" t="s">
        <v>292</v>
      </c>
      <c r="AJ30" s="75" t="s">
        <v>204</v>
      </c>
      <c r="AK30" s="110">
        <f t="shared" si="1"/>
        <v>8</v>
      </c>
      <c r="AL30" s="136">
        <v>9</v>
      </c>
      <c r="AM30" s="100">
        <f t="shared" si="9"/>
        <v>1</v>
      </c>
      <c r="AN30" s="134" t="s">
        <v>315</v>
      </c>
      <c r="AO30" s="101" t="s">
        <v>204</v>
      </c>
      <c r="AP30" s="110">
        <f t="shared" si="2"/>
        <v>34</v>
      </c>
      <c r="AQ30" s="111">
        <f>SUM(W30+AB30+AG30+AL30)</f>
        <v>35</v>
      </c>
      <c r="AR30" s="102">
        <f t="shared" si="3"/>
        <v>1</v>
      </c>
      <c r="AS30" s="75" t="s">
        <v>338</v>
      </c>
    </row>
    <row r="31" spans="1:45" s="8" customFormat="1" ht="120">
      <c r="A31" s="45">
        <v>4</v>
      </c>
      <c r="B31" s="45" t="s">
        <v>52</v>
      </c>
      <c r="C31" s="45" t="s">
        <v>144</v>
      </c>
      <c r="D31" s="45" t="s">
        <v>206</v>
      </c>
      <c r="E31" s="3">
        <f t="shared" si="0"/>
        <v>0.04444444444444448</v>
      </c>
      <c r="F31" s="45" t="s">
        <v>79</v>
      </c>
      <c r="G31" s="45" t="s">
        <v>207</v>
      </c>
      <c r="H31" s="45" t="s">
        <v>208</v>
      </c>
      <c r="I31" s="45"/>
      <c r="J31" s="45" t="s">
        <v>148</v>
      </c>
      <c r="K31" s="45" t="s">
        <v>186</v>
      </c>
      <c r="L31" s="14">
        <v>5</v>
      </c>
      <c r="M31" s="14">
        <v>6</v>
      </c>
      <c r="N31" s="14">
        <v>6</v>
      </c>
      <c r="O31" s="14">
        <v>5</v>
      </c>
      <c r="P31" s="12">
        <f t="shared" si="10"/>
        <v>22</v>
      </c>
      <c r="Q31" s="45" t="s">
        <v>92</v>
      </c>
      <c r="R31" s="45" t="s">
        <v>187</v>
      </c>
      <c r="S31" s="45" t="s">
        <v>188</v>
      </c>
      <c r="T31" s="45" t="s">
        <v>63</v>
      </c>
      <c r="U31" s="45" t="s">
        <v>187</v>
      </c>
      <c r="V31" s="13">
        <f t="shared" si="4"/>
        <v>5</v>
      </c>
      <c r="W31" s="86">
        <v>5</v>
      </c>
      <c r="X31" s="82">
        <v>1</v>
      </c>
      <c r="Y31" s="83" t="s">
        <v>209</v>
      </c>
      <c r="Z31" s="83" t="s">
        <v>204</v>
      </c>
      <c r="AA31" s="13">
        <f t="shared" si="5"/>
        <v>6</v>
      </c>
      <c r="AB31" s="88">
        <v>8</v>
      </c>
      <c r="AC31" s="71">
        <f t="shared" si="6"/>
        <v>1</v>
      </c>
      <c r="AD31" s="75" t="s">
        <v>210</v>
      </c>
      <c r="AE31" s="75" t="s">
        <v>204</v>
      </c>
      <c r="AF31" s="109">
        <f t="shared" si="7"/>
        <v>6</v>
      </c>
      <c r="AG31" s="109">
        <v>9</v>
      </c>
      <c r="AH31" s="99">
        <f t="shared" si="8"/>
        <v>1</v>
      </c>
      <c r="AI31" s="75" t="s">
        <v>211</v>
      </c>
      <c r="AJ31" s="75" t="s">
        <v>204</v>
      </c>
      <c r="AK31" s="110">
        <f t="shared" si="1"/>
        <v>5</v>
      </c>
      <c r="AL31" s="136">
        <v>8</v>
      </c>
      <c r="AM31" s="100">
        <f>IF(AL31/AK31&gt;100%,100%,AL31/AK31)</f>
        <v>1</v>
      </c>
      <c r="AN31" s="134" t="s">
        <v>314</v>
      </c>
      <c r="AO31" s="101" t="s">
        <v>204</v>
      </c>
      <c r="AP31" s="110">
        <f t="shared" si="2"/>
        <v>22</v>
      </c>
      <c r="AQ31" s="111">
        <f>SUM(W31+AB31+AG31+AL31)</f>
        <v>30</v>
      </c>
      <c r="AR31" s="102">
        <f t="shared" si="3"/>
        <v>1</v>
      </c>
      <c r="AS31" s="75" t="s">
        <v>337</v>
      </c>
    </row>
    <row r="32" spans="1:45" s="18" customFormat="1" ht="15.75">
      <c r="A32" s="15"/>
      <c r="B32" s="15"/>
      <c r="C32" s="15"/>
      <c r="D32" s="16" t="s">
        <v>212</v>
      </c>
      <c r="E32" s="17">
        <f>SUM(E14:E31)</f>
        <v>0.8000000000000009</v>
      </c>
      <c r="F32" s="15"/>
      <c r="G32" s="15"/>
      <c r="H32" s="15"/>
      <c r="I32" s="15"/>
      <c r="J32" s="15"/>
      <c r="K32" s="15"/>
      <c r="L32" s="17"/>
      <c r="M32" s="17"/>
      <c r="N32" s="17"/>
      <c r="O32" s="17"/>
      <c r="P32" s="17"/>
      <c r="Q32" s="15"/>
      <c r="R32" s="15"/>
      <c r="S32" s="15"/>
      <c r="T32" s="15"/>
      <c r="U32" s="15"/>
      <c r="V32" s="57"/>
      <c r="W32" s="57"/>
      <c r="X32" s="57">
        <f>AVERAGE(X14:X31)*80%</f>
        <v>0.5857924524853803</v>
      </c>
      <c r="Y32" s="58"/>
      <c r="Z32" s="58"/>
      <c r="AA32" s="57"/>
      <c r="AB32" s="57"/>
      <c r="AC32" s="59">
        <f>AVERAGE(AC14:AC31)*80%</f>
        <v>0.7227990196078431</v>
      </c>
      <c r="AD32" s="60"/>
      <c r="AE32" s="60"/>
      <c r="AF32" s="112"/>
      <c r="AG32" s="113"/>
      <c r="AH32" s="115">
        <f>AVERAGE(AH14:AH31)*80%</f>
        <v>0.7538130594675208</v>
      </c>
      <c r="AI32" s="114"/>
      <c r="AJ32" s="114"/>
      <c r="AK32" s="112"/>
      <c r="AL32" s="113"/>
      <c r="AM32" s="112">
        <f>AVERAGE(AM14:AM31)*80%</f>
        <v>0.7992147624656458</v>
      </c>
      <c r="AN32" s="114"/>
      <c r="AO32" s="114"/>
      <c r="AP32" s="112"/>
      <c r="AQ32" s="112"/>
      <c r="AR32" s="115">
        <f>AVERAGE(AR14:AR31)*80%</f>
        <v>0.7916329247804507</v>
      </c>
      <c r="AS32" s="60"/>
    </row>
    <row r="33" spans="1:45" ht="120">
      <c r="A33" s="19">
        <v>7</v>
      </c>
      <c r="B33" s="19" t="s">
        <v>213</v>
      </c>
      <c r="C33" s="19" t="s">
        <v>214</v>
      </c>
      <c r="D33" s="19" t="s">
        <v>215</v>
      </c>
      <c r="E33" s="20">
        <v>0.04</v>
      </c>
      <c r="F33" s="19" t="s">
        <v>216</v>
      </c>
      <c r="G33" s="19" t="s">
        <v>217</v>
      </c>
      <c r="H33" s="19" t="s">
        <v>218</v>
      </c>
      <c r="I33" s="19"/>
      <c r="J33" s="21" t="s">
        <v>219</v>
      </c>
      <c r="K33" s="21" t="s">
        <v>220</v>
      </c>
      <c r="L33" s="22">
        <v>0</v>
      </c>
      <c r="M33" s="22">
        <v>0.8</v>
      </c>
      <c r="N33" s="22">
        <v>0</v>
      </c>
      <c r="O33" s="22">
        <v>0.8</v>
      </c>
      <c r="P33" s="22">
        <v>0.8</v>
      </c>
      <c r="Q33" s="19" t="s">
        <v>92</v>
      </c>
      <c r="R33" s="19" t="s">
        <v>221</v>
      </c>
      <c r="S33" s="19" t="s">
        <v>222</v>
      </c>
      <c r="T33" s="19" t="s">
        <v>223</v>
      </c>
      <c r="U33" s="19" t="s">
        <v>224</v>
      </c>
      <c r="V33" s="23" t="s">
        <v>65</v>
      </c>
      <c r="W33" s="23" t="s">
        <v>65</v>
      </c>
      <c r="X33" s="23" t="s">
        <v>65</v>
      </c>
      <c r="Y33" s="24" t="s">
        <v>66</v>
      </c>
      <c r="Z33" s="24" t="s">
        <v>65</v>
      </c>
      <c r="AA33" s="23">
        <f t="shared" si="5"/>
        <v>0.8</v>
      </c>
      <c r="AB33" s="89">
        <v>1.07</v>
      </c>
      <c r="AC33" s="42">
        <f t="shared" si="6"/>
        <v>1</v>
      </c>
      <c r="AD33" s="53" t="s">
        <v>225</v>
      </c>
      <c r="AE33" s="53" t="s">
        <v>226</v>
      </c>
      <c r="AF33" s="116" t="s">
        <v>65</v>
      </c>
      <c r="AG33" s="117" t="s">
        <v>65</v>
      </c>
      <c r="AH33" s="118" t="s">
        <v>65</v>
      </c>
      <c r="AI33" s="53" t="s">
        <v>275</v>
      </c>
      <c r="AJ33" s="53" t="s">
        <v>65</v>
      </c>
      <c r="AK33" s="116">
        <f t="shared" si="1"/>
        <v>0.8</v>
      </c>
      <c r="AL33" s="137">
        <v>0.99</v>
      </c>
      <c r="AM33" s="100">
        <f>IF(AL33/AK33&gt;100%,100%,AL33/AK33)</f>
        <v>1</v>
      </c>
      <c r="AN33" s="119" t="s">
        <v>324</v>
      </c>
      <c r="AO33" s="119" t="s">
        <v>323</v>
      </c>
      <c r="AP33" s="122">
        <f t="shared" si="2"/>
        <v>0.8</v>
      </c>
      <c r="AQ33" s="122">
        <f>(107%*50%)+(99%*50%)</f>
        <v>1.03</v>
      </c>
      <c r="AR33" s="120">
        <f>AQ33/AP33</f>
        <v>1.2874999999999999</v>
      </c>
      <c r="AS33" s="53" t="s">
        <v>343</v>
      </c>
    </row>
    <row r="34" spans="1:45" ht="195">
      <c r="A34" s="19">
        <v>7</v>
      </c>
      <c r="B34" s="19" t="s">
        <v>213</v>
      </c>
      <c r="C34" s="19" t="s">
        <v>214</v>
      </c>
      <c r="D34" s="19" t="s">
        <v>227</v>
      </c>
      <c r="E34" s="20">
        <v>0.04</v>
      </c>
      <c r="F34" s="19" t="s">
        <v>216</v>
      </c>
      <c r="G34" s="19" t="s">
        <v>228</v>
      </c>
      <c r="H34" s="19" t="s">
        <v>229</v>
      </c>
      <c r="I34" s="19"/>
      <c r="J34" s="21" t="s">
        <v>219</v>
      </c>
      <c r="K34" s="21" t="s">
        <v>230</v>
      </c>
      <c r="L34" s="26">
        <v>1</v>
      </c>
      <c r="M34" s="26">
        <v>1</v>
      </c>
      <c r="N34" s="26">
        <v>1</v>
      </c>
      <c r="O34" s="26">
        <v>1</v>
      </c>
      <c r="P34" s="26">
        <v>1</v>
      </c>
      <c r="Q34" s="19" t="s">
        <v>92</v>
      </c>
      <c r="R34" s="19" t="s">
        <v>231</v>
      </c>
      <c r="S34" s="19" t="s">
        <v>232</v>
      </c>
      <c r="T34" s="19" t="s">
        <v>233</v>
      </c>
      <c r="U34" s="19" t="s">
        <v>234</v>
      </c>
      <c r="V34" s="23">
        <f>L34</f>
        <v>1</v>
      </c>
      <c r="W34" s="23">
        <f>M34</f>
        <v>1</v>
      </c>
      <c r="X34" s="23">
        <f>N34</f>
        <v>1</v>
      </c>
      <c r="Y34" s="27" t="s">
        <v>235</v>
      </c>
      <c r="Z34" s="27"/>
      <c r="AA34" s="23">
        <f t="shared" si="5"/>
        <v>1</v>
      </c>
      <c r="AB34" s="23">
        <f>100%</f>
        <v>1</v>
      </c>
      <c r="AC34" s="42">
        <f t="shared" si="6"/>
        <v>1</v>
      </c>
      <c r="AD34" s="53" t="s">
        <v>236</v>
      </c>
      <c r="AE34" s="53" t="s">
        <v>237</v>
      </c>
      <c r="AF34" s="116">
        <f t="shared" si="7"/>
        <v>1</v>
      </c>
      <c r="AG34" s="121">
        <v>1</v>
      </c>
      <c r="AH34" s="121">
        <f>IF(AG34/AF34&gt;100%,100%,AG34/AF34)</f>
        <v>1</v>
      </c>
      <c r="AI34" s="53" t="s">
        <v>238</v>
      </c>
      <c r="AJ34" s="53" t="s">
        <v>237</v>
      </c>
      <c r="AK34" s="116">
        <f t="shared" si="1"/>
        <v>1</v>
      </c>
      <c r="AL34" s="137">
        <v>1</v>
      </c>
      <c r="AM34" s="100">
        <f>IF(AL34/AK34&gt;100%,100%,AL34/AK34)</f>
        <v>1</v>
      </c>
      <c r="AN34" s="119" t="s">
        <v>344</v>
      </c>
      <c r="AO34" s="119" t="s">
        <v>316</v>
      </c>
      <c r="AP34" s="122">
        <f t="shared" si="2"/>
        <v>1</v>
      </c>
      <c r="AQ34" s="120">
        <f>(100%*25%)+(100%*25%)+(100%*25%)+(100%*25%)</f>
        <v>1</v>
      </c>
      <c r="AR34" s="120">
        <f>AQ34/AP34</f>
        <v>1</v>
      </c>
      <c r="AS34" s="55" t="s">
        <v>344</v>
      </c>
    </row>
    <row r="35" spans="1:45" ht="150">
      <c r="A35" s="19">
        <v>7</v>
      </c>
      <c r="B35" s="19" t="s">
        <v>213</v>
      </c>
      <c r="C35" s="19" t="s">
        <v>239</v>
      </c>
      <c r="D35" s="19" t="s">
        <v>240</v>
      </c>
      <c r="E35" s="20">
        <v>0.04</v>
      </c>
      <c r="F35" s="19" t="s">
        <v>216</v>
      </c>
      <c r="G35" s="19" t="s">
        <v>241</v>
      </c>
      <c r="H35" s="19" t="s">
        <v>242</v>
      </c>
      <c r="I35" s="19"/>
      <c r="J35" s="21" t="s">
        <v>219</v>
      </c>
      <c r="K35" s="21" t="s">
        <v>243</v>
      </c>
      <c r="L35" s="26">
        <v>0</v>
      </c>
      <c r="M35" s="26">
        <v>1</v>
      </c>
      <c r="N35" s="26">
        <v>1</v>
      </c>
      <c r="O35" s="26">
        <v>1</v>
      </c>
      <c r="P35" s="26">
        <v>1</v>
      </c>
      <c r="Q35" s="19" t="s">
        <v>92</v>
      </c>
      <c r="R35" s="19" t="s">
        <v>244</v>
      </c>
      <c r="S35" s="19" t="s">
        <v>245</v>
      </c>
      <c r="T35" s="19" t="s">
        <v>246</v>
      </c>
      <c r="U35" s="19" t="s">
        <v>247</v>
      </c>
      <c r="V35" s="23" t="s">
        <v>65</v>
      </c>
      <c r="W35" s="23" t="s">
        <v>65</v>
      </c>
      <c r="X35" s="23" t="s">
        <v>65</v>
      </c>
      <c r="Y35" s="24" t="s">
        <v>66</v>
      </c>
      <c r="Z35" s="24" t="s">
        <v>65</v>
      </c>
      <c r="AA35" s="23">
        <f t="shared" si="5"/>
        <v>1</v>
      </c>
      <c r="AB35" s="28">
        <f>109/115</f>
        <v>0.9478260869565217</v>
      </c>
      <c r="AC35" s="42">
        <f t="shared" si="6"/>
        <v>0.9478260869565217</v>
      </c>
      <c r="AD35" s="53" t="s">
        <v>248</v>
      </c>
      <c r="AE35" s="53" t="s">
        <v>249</v>
      </c>
      <c r="AF35" s="116">
        <f t="shared" si="7"/>
        <v>1</v>
      </c>
      <c r="AG35" s="121">
        <v>1</v>
      </c>
      <c r="AH35" s="121">
        <f>IF(AG35/AF35&gt;100%,100%,AG35/AF35)</f>
        <v>1</v>
      </c>
      <c r="AI35" s="53" t="s">
        <v>293</v>
      </c>
      <c r="AJ35" s="138" t="s">
        <v>294</v>
      </c>
      <c r="AK35" s="116">
        <f t="shared" si="1"/>
        <v>1</v>
      </c>
      <c r="AL35" s="137">
        <v>1</v>
      </c>
      <c r="AM35" s="100">
        <f>IF(AL35/AK35&gt;100%,100%,AL35/AK35)</f>
        <v>1</v>
      </c>
      <c r="AN35" s="119" t="s">
        <v>317</v>
      </c>
      <c r="AO35" s="119" t="s">
        <v>318</v>
      </c>
      <c r="AP35" s="116">
        <f t="shared" si="2"/>
        <v>1</v>
      </c>
      <c r="AQ35" s="122">
        <f>(94.78%*33.3%)+(100%*33.3%)+(100%*33.3%)</f>
        <v>0.9816173999999999</v>
      </c>
      <c r="AR35" s="120">
        <f>AQ35/AP35</f>
        <v>0.9816173999999999</v>
      </c>
      <c r="AS35" s="53" t="s">
        <v>345</v>
      </c>
    </row>
    <row r="36" spans="1:45" ht="105">
      <c r="A36" s="19">
        <v>7</v>
      </c>
      <c r="B36" s="19" t="s">
        <v>213</v>
      </c>
      <c r="C36" s="19" t="s">
        <v>214</v>
      </c>
      <c r="D36" s="19" t="s">
        <v>250</v>
      </c>
      <c r="E36" s="20">
        <v>0.04</v>
      </c>
      <c r="F36" s="19" t="s">
        <v>216</v>
      </c>
      <c r="G36" s="19" t="s">
        <v>251</v>
      </c>
      <c r="H36" s="19" t="s">
        <v>252</v>
      </c>
      <c r="I36" s="19"/>
      <c r="J36" s="21" t="s">
        <v>219</v>
      </c>
      <c r="K36" s="21" t="s">
        <v>253</v>
      </c>
      <c r="L36" s="26">
        <v>0</v>
      </c>
      <c r="M36" s="26">
        <v>1</v>
      </c>
      <c r="N36" s="26">
        <v>0</v>
      </c>
      <c r="O36" s="26">
        <v>1</v>
      </c>
      <c r="P36" s="26">
        <v>1</v>
      </c>
      <c r="Q36" s="19" t="s">
        <v>92</v>
      </c>
      <c r="R36" s="19" t="s">
        <v>254</v>
      </c>
      <c r="S36" s="19" t="s">
        <v>255</v>
      </c>
      <c r="T36" s="19" t="s">
        <v>233</v>
      </c>
      <c r="U36" s="19" t="s">
        <v>255</v>
      </c>
      <c r="V36" s="23" t="s">
        <v>65</v>
      </c>
      <c r="W36" s="23" t="s">
        <v>65</v>
      </c>
      <c r="X36" s="23" t="s">
        <v>65</v>
      </c>
      <c r="Y36" s="24" t="s">
        <v>66</v>
      </c>
      <c r="Z36" s="24" t="s">
        <v>65</v>
      </c>
      <c r="AA36" s="23">
        <f t="shared" si="5"/>
        <v>1</v>
      </c>
      <c r="AB36" s="25">
        <v>1</v>
      </c>
      <c r="AC36" s="42">
        <f t="shared" si="6"/>
        <v>1</v>
      </c>
      <c r="AD36" s="53" t="s">
        <v>256</v>
      </c>
      <c r="AE36" s="53" t="s">
        <v>257</v>
      </c>
      <c r="AF36" s="116" t="s">
        <v>65</v>
      </c>
      <c r="AG36" s="117" t="s">
        <v>65</v>
      </c>
      <c r="AH36" s="118" t="s">
        <v>65</v>
      </c>
      <c r="AI36" s="53" t="s">
        <v>275</v>
      </c>
      <c r="AJ36" s="53" t="s">
        <v>65</v>
      </c>
      <c r="AK36" s="116">
        <f t="shared" si="1"/>
        <v>1</v>
      </c>
      <c r="AL36" s="137">
        <v>1</v>
      </c>
      <c r="AM36" s="100">
        <f>IF(AL36/AK36&gt;100%,100%,AL36/AK36)</f>
        <v>1</v>
      </c>
      <c r="AN36" s="119" t="s">
        <v>319</v>
      </c>
      <c r="AO36" s="119" t="s">
        <v>320</v>
      </c>
      <c r="AP36" s="116">
        <f t="shared" si="2"/>
        <v>1</v>
      </c>
      <c r="AQ36" s="116">
        <f>(100%*50%)+(100%*50%)</f>
        <v>1</v>
      </c>
      <c r="AR36" s="120">
        <f>AQ36/AP36</f>
        <v>1</v>
      </c>
      <c r="AS36" s="53" t="s">
        <v>346</v>
      </c>
    </row>
    <row r="37" spans="1:45" ht="165">
      <c r="A37" s="19">
        <v>5</v>
      </c>
      <c r="B37" s="19" t="s">
        <v>258</v>
      </c>
      <c r="C37" s="19" t="s">
        <v>259</v>
      </c>
      <c r="D37" s="19" t="s">
        <v>260</v>
      </c>
      <c r="E37" s="20">
        <v>0.04</v>
      </c>
      <c r="F37" s="19" t="s">
        <v>216</v>
      </c>
      <c r="G37" s="19" t="s">
        <v>261</v>
      </c>
      <c r="H37" s="19" t="s">
        <v>262</v>
      </c>
      <c r="I37" s="19"/>
      <c r="J37" s="21" t="s">
        <v>263</v>
      </c>
      <c r="K37" s="21" t="s">
        <v>264</v>
      </c>
      <c r="L37" s="22">
        <v>0.33</v>
      </c>
      <c r="M37" s="22">
        <v>0.67</v>
      </c>
      <c r="N37" s="22">
        <v>1</v>
      </c>
      <c r="O37" s="22">
        <v>0</v>
      </c>
      <c r="P37" s="22">
        <v>1</v>
      </c>
      <c r="Q37" s="19" t="s">
        <v>92</v>
      </c>
      <c r="R37" s="19" t="s">
        <v>265</v>
      </c>
      <c r="S37" s="19" t="s">
        <v>266</v>
      </c>
      <c r="T37" s="19" t="s">
        <v>267</v>
      </c>
      <c r="U37" s="19" t="s">
        <v>266</v>
      </c>
      <c r="V37" s="23">
        <f>L37</f>
        <v>0.33</v>
      </c>
      <c r="W37" s="28">
        <v>0.999</v>
      </c>
      <c r="X37" s="25">
        <v>1</v>
      </c>
      <c r="Y37" s="27" t="s">
        <v>268</v>
      </c>
      <c r="Z37" s="27" t="s">
        <v>269</v>
      </c>
      <c r="AA37" s="23">
        <f t="shared" si="5"/>
        <v>0.67</v>
      </c>
      <c r="AB37" s="29">
        <v>0.993</v>
      </c>
      <c r="AC37" s="42">
        <f t="shared" si="6"/>
        <v>1</v>
      </c>
      <c r="AD37" s="53" t="s">
        <v>270</v>
      </c>
      <c r="AE37" s="53" t="s">
        <v>271</v>
      </c>
      <c r="AF37" s="116">
        <f t="shared" si="7"/>
        <v>1</v>
      </c>
      <c r="AG37" s="121">
        <v>1</v>
      </c>
      <c r="AH37" s="121">
        <f>IF(AG37/AF37&gt;100%,100%,AG37/AF37)</f>
        <v>1</v>
      </c>
      <c r="AI37" s="53" t="s">
        <v>296</v>
      </c>
      <c r="AJ37" s="53" t="s">
        <v>295</v>
      </c>
      <c r="AK37" s="116">
        <v>1</v>
      </c>
      <c r="AL37" s="137">
        <f>1963/1963</f>
        <v>1</v>
      </c>
      <c r="AM37" s="100">
        <f>IF(AL37/AK37&gt;100%,100%,AL37/AK37)</f>
        <v>1</v>
      </c>
      <c r="AN37" s="119" t="s">
        <v>321</v>
      </c>
      <c r="AO37" s="119" t="s">
        <v>295</v>
      </c>
      <c r="AP37" s="116">
        <f t="shared" si="2"/>
        <v>1</v>
      </c>
      <c r="AQ37" s="123">
        <v>1</v>
      </c>
      <c r="AR37" s="120">
        <f>AQ37/AP37</f>
        <v>1</v>
      </c>
      <c r="AS37" s="53" t="s">
        <v>347</v>
      </c>
    </row>
    <row r="38" spans="1:45" s="18" customFormat="1" ht="15.75">
      <c r="A38" s="15"/>
      <c r="B38" s="15"/>
      <c r="C38" s="15"/>
      <c r="D38" s="34" t="s">
        <v>272</v>
      </c>
      <c r="E38" s="35">
        <f>SUM(E33:E37)</f>
        <v>0.2</v>
      </c>
      <c r="F38" s="34"/>
      <c r="G38" s="34"/>
      <c r="H38" s="34"/>
      <c r="I38" s="34"/>
      <c r="J38" s="34"/>
      <c r="K38" s="34"/>
      <c r="L38" s="36">
        <f>AVERAGE(L34:L37)</f>
        <v>0.3325</v>
      </c>
      <c r="M38" s="36">
        <f>AVERAGE(M34:M37)</f>
        <v>0.9175</v>
      </c>
      <c r="N38" s="36">
        <f>AVERAGE(N34:N37)</f>
        <v>0.75</v>
      </c>
      <c r="O38" s="36">
        <f>AVERAGE(O34:O37)</f>
        <v>0.75</v>
      </c>
      <c r="P38" s="36">
        <f>AVERAGE(P34:P37)</f>
        <v>1</v>
      </c>
      <c r="Q38" s="34"/>
      <c r="R38" s="15"/>
      <c r="S38" s="15"/>
      <c r="T38" s="15"/>
      <c r="U38" s="15"/>
      <c r="V38" s="61"/>
      <c r="W38" s="61"/>
      <c r="X38" s="57">
        <f>AVERAGE(X33:X37)*20%</f>
        <v>0.2</v>
      </c>
      <c r="Y38" s="58"/>
      <c r="Z38" s="58"/>
      <c r="AA38" s="61">
        <f>AVERAGE(AA34:AA37)</f>
        <v>0.9175</v>
      </c>
      <c r="AB38" s="61"/>
      <c r="AC38" s="62">
        <f>AVERAGE(AC33:AC37)*20%</f>
        <v>0.19791304347826086</v>
      </c>
      <c r="AD38" s="63"/>
      <c r="AE38" s="63"/>
      <c r="AF38" s="124">
        <f>AVERAGE(AF34:AF37)</f>
        <v>1</v>
      </c>
      <c r="AG38" s="124"/>
      <c r="AH38" s="124">
        <f>AVERAGE(AH33:AH37)*20%</f>
        <v>0.2</v>
      </c>
      <c r="AI38" s="125"/>
      <c r="AJ38" s="125"/>
      <c r="AK38" s="124">
        <f>AVERAGE(AK34:AK37)</f>
        <v>1</v>
      </c>
      <c r="AL38" s="124"/>
      <c r="AM38" s="124">
        <f>AVERAGE(AM33:AM37)*20%</f>
        <v>0.2</v>
      </c>
      <c r="AN38" s="125"/>
      <c r="AO38" s="125"/>
      <c r="AP38" s="124"/>
      <c r="AQ38" s="124"/>
      <c r="AR38" s="124">
        <f>AVERAGE(AR33:AR37)*20%</f>
        <v>0.21076469599999995</v>
      </c>
      <c r="AS38" s="60"/>
    </row>
    <row r="39" spans="1:45" s="41" customFormat="1" ht="18.75">
      <c r="A39" s="37"/>
      <c r="B39" s="37"/>
      <c r="C39" s="37"/>
      <c r="D39" s="38" t="s">
        <v>273</v>
      </c>
      <c r="E39" s="39">
        <f>E38+E32</f>
        <v>1.0000000000000009</v>
      </c>
      <c r="F39" s="37"/>
      <c r="G39" s="37"/>
      <c r="H39" s="37"/>
      <c r="I39" s="37"/>
      <c r="J39" s="37"/>
      <c r="K39" s="37"/>
      <c r="L39" s="40">
        <f>L38*$E$38</f>
        <v>0.0665</v>
      </c>
      <c r="M39" s="40">
        <f>M38*$E$38</f>
        <v>0.1835</v>
      </c>
      <c r="N39" s="40">
        <f>N38*$E$38</f>
        <v>0.15000000000000002</v>
      </c>
      <c r="O39" s="40">
        <f>O38*$E$38</f>
        <v>0.15000000000000002</v>
      </c>
      <c r="P39" s="40">
        <f>P38*$E$38</f>
        <v>0.2</v>
      </c>
      <c r="Q39" s="37"/>
      <c r="R39" s="37"/>
      <c r="S39" s="37"/>
      <c r="T39" s="37"/>
      <c r="U39" s="37"/>
      <c r="V39" s="64"/>
      <c r="W39" s="64"/>
      <c r="X39" s="65">
        <f>X32+X38</f>
        <v>0.7857924524853803</v>
      </c>
      <c r="Y39" s="66"/>
      <c r="Z39" s="66"/>
      <c r="AA39" s="64">
        <f>AA38*$E$38</f>
        <v>0.1835</v>
      </c>
      <c r="AB39" s="64"/>
      <c r="AC39" s="67">
        <f>AC32+AC38</f>
        <v>0.920712063086104</v>
      </c>
      <c r="AD39" s="68"/>
      <c r="AE39" s="68"/>
      <c r="AF39" s="126">
        <f>AF38*$E$38</f>
        <v>0.2</v>
      </c>
      <c r="AG39" s="126"/>
      <c r="AH39" s="127">
        <f>AH32+AH38</f>
        <v>0.9538130594675207</v>
      </c>
      <c r="AI39" s="128"/>
      <c r="AJ39" s="128"/>
      <c r="AK39" s="126">
        <f>AK38*$E$38</f>
        <v>0.2</v>
      </c>
      <c r="AL39" s="126"/>
      <c r="AM39" s="127">
        <f>AM32+AM38</f>
        <v>0.9992147624656458</v>
      </c>
      <c r="AN39" s="128"/>
      <c r="AO39" s="128"/>
      <c r="AP39" s="126"/>
      <c r="AQ39" s="126"/>
      <c r="AR39" s="127">
        <f>AR32+AR38</f>
        <v>1.0023976207804506</v>
      </c>
      <c r="AS39" s="69"/>
    </row>
  </sheetData>
  <sheetProtection formatColumns="0" formatRows="0" selectLockedCells="1" autoFilter="0" selectUnlockedCells="1"/>
  <mergeCells count="25">
    <mergeCell ref="A11:B12"/>
    <mergeCell ref="C11:C13"/>
    <mergeCell ref="D11:P12"/>
    <mergeCell ref="A1:K1"/>
    <mergeCell ref="L1:P1"/>
    <mergeCell ref="A2:P2"/>
    <mergeCell ref="A4:B8"/>
    <mergeCell ref="C4:D8"/>
    <mergeCell ref="H9:K9"/>
    <mergeCell ref="AA12:AE12"/>
    <mergeCell ref="AF12:AJ12"/>
    <mergeCell ref="AK12:AO12"/>
    <mergeCell ref="AK11:AO11"/>
    <mergeCell ref="AF11:AJ11"/>
    <mergeCell ref="AA11:AE11"/>
    <mergeCell ref="AP11:AS11"/>
    <mergeCell ref="AP12:AS12"/>
    <mergeCell ref="V11:Z11"/>
    <mergeCell ref="F4:K4"/>
    <mergeCell ref="H5:K5"/>
    <mergeCell ref="H6:K6"/>
    <mergeCell ref="H7:K7"/>
    <mergeCell ref="H8:K8"/>
    <mergeCell ref="Q11:U12"/>
    <mergeCell ref="V12:Z12"/>
  </mergeCells>
  <dataValidations count="3">
    <dataValidation allowBlank="1" showInputMessage="1" showErrorMessage="1" promptTitle="Cualquier contenido" error="Escriba un texto " sqref="F14:F31"/>
    <dataValidation type="textLength" operator="lessThanOrEqual" allowBlank="1" showInputMessage="1" showErrorMessage="1" prompt="Recuerde que este campo tiene máximo 2.500 caracteres, incluyendo espacios." error="Por favor ingresar menos de 2.500 caracteres, incluyendo espacios." sqref="Y34 Y16:Y31 Y37 AS34">
      <formula1>2500</formula1>
    </dataValidation>
    <dataValidation type="textLength" operator="lessThanOrEqual" allowBlank="1" showInputMessage="1" showErrorMessage="1" error="Por favor ingresar menos de 2.500 caracteres, incluyendo espacios." sqref="W16:X31 Z37 W37:X37 Z16:Z31 Z34">
      <formula1>2500</formula1>
    </dataValidation>
  </dataValidations>
  <hyperlinks>
    <hyperlink ref="AJ35" r:id="rId1" display="http://www.usme.gov.co/tabla_archivos/107-registros-publicaciones"/>
  </hyperlinks>
  <printOptions/>
  <pageMargins left="0.7" right="0.7" top="0.75" bottom="0.75" header="0.3" footer="0.3"/>
  <pageSetup horizontalDpi="600" verticalDpi="600" orientation="portrait" paperSize="9" r:id="rId3"/>
  <ignoredErrors>
    <ignoredError sqref="M38:P3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Victor Julio Martinez Diaz</cp:lastModifiedBy>
  <dcterms:created xsi:type="dcterms:W3CDTF">2021-01-25T18:44:53Z</dcterms:created>
  <dcterms:modified xsi:type="dcterms:W3CDTF">2022-01-24T20:53:37Z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